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977de9933658e4f/Documentos/Mestrado/Resultados - TAG dietético Patauá/Caracterização da matéria prima/"/>
    </mc:Choice>
  </mc:AlternateContent>
  <xr:revisionPtr revIDLastSave="111" documentId="8_{43CD1482-50FB-4E82-8005-8FCE964327A7}" xr6:coauthVersionLast="47" xr6:coauthVersionMax="47" xr10:uidLastSave="{B6466FEB-61E1-4558-A2DF-5BB3EB7916D8}"/>
  <bookViews>
    <workbookView xWindow="-19320" yWindow="-1815" windowWidth="19440" windowHeight="14880" firstSheet="1" activeTab="3" xr2:uid="{870DA3FC-DFAC-4CC4-B501-0B1A2F883891}"/>
  </bookViews>
  <sheets>
    <sheet name="Índice de Iodo - metd. indireto" sheetId="1" r:id="rId1"/>
    <sheet name="Índice de Iodo - metd. direto" sheetId="4" r:id="rId2"/>
    <sheet name="Índice de Acidez" sheetId="2" r:id="rId3"/>
    <sheet name="Índice de Saponificação" sheetId="3" r:id="rId4"/>
    <sheet name="Índice de Peróxido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5" l="1"/>
  <c r="C44" i="5"/>
  <c r="C46" i="5"/>
  <c r="C35" i="5"/>
  <c r="C36" i="5"/>
  <c r="C34" i="5"/>
  <c r="C26" i="5"/>
  <c r="C25" i="5"/>
  <c r="C24" i="5"/>
  <c r="D24" i="5" s="1"/>
  <c r="C17" i="5"/>
  <c r="C18" i="5"/>
  <c r="C16" i="5"/>
  <c r="C7" i="5"/>
  <c r="C8" i="5"/>
  <c r="C9" i="5"/>
  <c r="E7" i="4"/>
  <c r="D7" i="4"/>
  <c r="C8" i="4"/>
  <c r="C9" i="4"/>
  <c r="C7" i="4"/>
  <c r="E7" i="3"/>
  <c r="D7" i="3"/>
  <c r="F6" i="2"/>
  <c r="E6" i="2"/>
  <c r="C8" i="3"/>
  <c r="C9" i="3"/>
  <c r="C7" i="3"/>
  <c r="D7" i="2"/>
  <c r="D8" i="2"/>
  <c r="D6" i="2"/>
  <c r="C7" i="2"/>
  <c r="C8" i="2"/>
  <c r="C6" i="2"/>
  <c r="C10" i="1"/>
  <c r="C9" i="1"/>
  <c r="C8" i="1"/>
  <c r="C7" i="1"/>
  <c r="C6" i="1"/>
  <c r="C11" i="1" s="1"/>
  <c r="E44" i="5" l="1"/>
  <c r="D44" i="5"/>
  <c r="E34" i="5"/>
  <c r="D34" i="5"/>
  <c r="E24" i="5"/>
  <c r="E16" i="5"/>
  <c r="D16" i="5"/>
  <c r="D7" i="5"/>
  <c r="E7" i="5"/>
</calcChain>
</file>

<file path=xl/sharedStrings.xml><?xml version="1.0" encoding="utf-8"?>
<sst xmlns="http://schemas.openxmlformats.org/spreadsheetml/2006/main" count="112" uniqueCount="55">
  <si>
    <t>Índice de Iodo - metodologia indireta</t>
  </si>
  <si>
    <t>% × factor</t>
  </si>
  <si>
    <t>% iodo absorvido</t>
  </si>
  <si>
    <t>Perfil de ácidos graxos utilizado para o cálculo:</t>
  </si>
  <si>
    <t>n.i.</t>
  </si>
  <si>
    <t>c16</t>
  </si>
  <si>
    <t>c16.1</t>
  </si>
  <si>
    <t>c18</t>
  </si>
  <si>
    <t>c18.1</t>
  </si>
  <si>
    <t>c18.2</t>
  </si>
  <si>
    <t>c18:3</t>
  </si>
  <si>
    <t>c20</t>
  </si>
  <si>
    <t>c20:1</t>
  </si>
  <si>
    <t>c22</t>
  </si>
  <si>
    <t>TOTAL</t>
  </si>
  <si>
    <t>Tempo de Retenção</t>
  </si>
  <si>
    <t>Área</t>
  </si>
  <si>
    <t>Fator (AOCS)</t>
  </si>
  <si>
    <t>Total</t>
  </si>
  <si>
    <t>Porcentagem Composição</t>
  </si>
  <si>
    <t>IV (somente ácidos graxos com insaturação)</t>
  </si>
  <si>
    <t>Índice de Acidez - (A.O.C.S. - Cd 3d-63 e Ca 5a–40)</t>
  </si>
  <si>
    <t>Branco</t>
  </si>
  <si>
    <t>Volume gasto titulante (ml)</t>
  </si>
  <si>
    <t>Pesagem de amostra (g)</t>
  </si>
  <si>
    <t>Concentração titulante [NaOH] =</t>
  </si>
  <si>
    <t>Índice de acidez</t>
  </si>
  <si>
    <t>-</t>
  </si>
  <si>
    <t>em mg de NaOH/ g de amostra</t>
  </si>
  <si>
    <t>em mg de KOH/ g de amostra</t>
  </si>
  <si>
    <t>A definição do índice de acidez leva em consideração a titulação com KOH, assim, o resultado da titulação com NaOH deve ser multiplicado por 1.4 (MM.KOH/MM.NaOH</t>
  </si>
  <si>
    <t>Índice de Saponificação - (A.O.C.S. - Cd 3-25)</t>
  </si>
  <si>
    <t>Índice de saponificação</t>
  </si>
  <si>
    <t>Concentração titulante [HCl] =</t>
  </si>
  <si>
    <t>Média</t>
  </si>
  <si>
    <t>Desvio Padrão</t>
  </si>
  <si>
    <t>Índice de Iodo - metodologia direta</t>
  </si>
  <si>
    <t>Índice de iodo</t>
  </si>
  <si>
    <t>Índice de Peróxidos - (A.O.C.S. - Cd 8b-90)</t>
  </si>
  <si>
    <r>
      <t>Concentração titulante [Na</t>
    </r>
    <r>
      <rPr>
        <sz val="8"/>
        <color theme="1"/>
        <rFont val="Arial"/>
        <family val="2"/>
      </rPr>
      <t>2</t>
    </r>
    <r>
      <rPr>
        <sz val="12"/>
        <color theme="1"/>
        <rFont val="Arial"/>
        <family val="2"/>
      </rPr>
      <t>S</t>
    </r>
    <r>
      <rPr>
        <sz val="8"/>
        <color theme="1"/>
        <rFont val="Arial"/>
        <family val="2"/>
      </rPr>
      <t>2</t>
    </r>
    <r>
      <rPr>
        <sz val="12"/>
        <color theme="1"/>
        <rFont val="Arial"/>
        <family val="2"/>
      </rPr>
      <t>O</t>
    </r>
    <r>
      <rPr>
        <sz val="8"/>
        <color theme="1"/>
        <rFont val="Arial"/>
        <family val="2"/>
      </rPr>
      <t>3</t>
    </r>
    <r>
      <rPr>
        <sz val="12"/>
        <color theme="1"/>
        <rFont val="Arial"/>
        <family val="2"/>
      </rPr>
      <t>] =</t>
    </r>
  </si>
  <si>
    <t>Índice de peróxido</t>
  </si>
  <si>
    <t>oleo do lukinhas: macaúba</t>
  </si>
  <si>
    <t>óleo patauá</t>
  </si>
  <si>
    <t>Indice</t>
  </si>
  <si>
    <t>Amazon</t>
  </si>
  <si>
    <t>Enzimologia</t>
  </si>
  <si>
    <t>Iodo</t>
  </si>
  <si>
    <t>Peróxido</t>
  </si>
  <si>
    <t>Saponificação</t>
  </si>
  <si>
    <t>Acidez</t>
  </si>
  <si>
    <t>KOH</t>
  </si>
  <si>
    <t>NaOH</t>
  </si>
  <si>
    <t>Azeite de Oliva Extra virgem Comercial</t>
  </si>
  <si>
    <t>Repetição Óleo de patauá</t>
  </si>
  <si>
    <t>após centrifugação e ultrassom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</si>
</sst>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7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8"/>
      <color theme="1"/>
      <name val="Arial"/>
      <family val="2"/>
    </font>
    <font>
      <b/>
      <i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2" xfId="0" applyFont="1" applyBorder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2" fontId="0" fillId="4" borderId="0" xfId="0" applyNumberFormat="1" applyFill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4" borderId="5" xfId="0" applyNumberFormat="1" applyFont="1" applyFill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4" borderId="5" xfId="0" applyNumberForma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1" fillId="4" borderId="0" xfId="0" applyFont="1" applyFill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4" borderId="3" xfId="0" applyNumberForma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6" fillId="5" borderId="0" xfId="0" applyNumberFormat="1" applyFont="1" applyFill="1" applyAlignment="1">
      <alignment horizontal="center"/>
    </xf>
    <xf numFmtId="0" fontId="6" fillId="5" borderId="0" xfId="0" applyFont="1" applyFill="1" applyAlignment="1">
      <alignment horizontal="center"/>
    </xf>
    <xf numFmtId="166" fontId="1" fillId="0" borderId="0" xfId="0" applyNumberFormat="1" applyFont="1" applyAlignment="1">
      <alignment horizontal="center" vertical="center"/>
    </xf>
    <xf numFmtId="166" fontId="1" fillId="4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161925</xdr:rowOff>
    </xdr:from>
    <xdr:to>
      <xdr:col>13</xdr:col>
      <xdr:colOff>96138</xdr:colOff>
      <xdr:row>9</xdr:row>
      <xdr:rowOff>133670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364205-F426-4253-8CEA-C37758ED1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8800" y="161925"/>
          <a:ext cx="6363588" cy="22958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11</xdr:row>
      <xdr:rowOff>104774</xdr:rowOff>
    </xdr:from>
    <xdr:ext cx="7839075" cy="9810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7438FA3-B552-774F-CBD4-E6F4E216A216}"/>
            </a:ext>
          </a:extLst>
        </xdr:cNvPr>
        <xdr:cNvSpPr txBox="1"/>
      </xdr:nvSpPr>
      <xdr:spPr>
        <a:xfrm>
          <a:off x="123825" y="2466974"/>
          <a:ext cx="7839075" cy="981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en-US" sz="1100"/>
            <a:t>A % de ácido graxo livre majoritário também pode ser calculado a partir deste método da AOCS utilizado. </a:t>
          </a:r>
          <a:br>
            <a:rPr lang="en-US" sz="1100"/>
          </a:br>
          <a:r>
            <a:rPr lang="en-US" sz="1100"/>
            <a:t>Na verdade,</a:t>
          </a:r>
          <a:r>
            <a:rPr lang="en-US" sz="1100" baseline="0"/>
            <a:t> o verdadeiro método do índice de acidez utiliza KOH como base, entretanto KPOH necessário é de difícil acesso e aquisição</a:t>
          </a:r>
          <a:br>
            <a:rPr lang="en-US" sz="1100" baseline="0"/>
          </a:br>
          <a:r>
            <a:rPr lang="en-US" sz="1100" baseline="0"/>
            <a:t>assim, optou-se por seguir o método de % de ácido graxo livre porque este utiliza NaOH e permite a conversão do valor de ác. graxo</a:t>
          </a:r>
          <a:br>
            <a:rPr lang="en-US" sz="1100" baseline="0"/>
          </a:br>
          <a:r>
            <a:rPr lang="en-US" sz="1100" baseline="0"/>
            <a:t> livre em índice de acidez ao multiplicar o resultado por um fator (ver método AOCS caso queira calcular a % de ac graxo livre)</a:t>
          </a:r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11</xdr:row>
      <xdr:rowOff>38100</xdr:rowOff>
    </xdr:from>
    <xdr:ext cx="7839075" cy="5810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843FB95-2991-472B-A949-8282C9624346}"/>
            </a:ext>
          </a:extLst>
        </xdr:cNvPr>
        <xdr:cNvSpPr txBox="1"/>
      </xdr:nvSpPr>
      <xdr:spPr>
        <a:xfrm>
          <a:off x="85725" y="2181225"/>
          <a:ext cx="7839075" cy="581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 rtl="0"/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Determinar a quantidade de álcali necessária para saponificar uma quantidade definida de amostra, sendo expressa como o número de</a:t>
          </a:r>
          <a:b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miligramas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hidróxido de potássio necessários para saponificar 1 </a:t>
          </a:r>
          <a:r>
            <a:rPr lang="en-US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grama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amostra.</a:t>
          </a:r>
          <a:endParaRPr lang="en-US" b="0">
            <a:effectLst/>
          </a:endParaRPr>
        </a:p>
        <a:p>
          <a:pPr algn="ctr"/>
          <a:br>
            <a:rPr lang="en-US"/>
          </a:b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626A4-4BD0-415F-85DB-33C61CF2CB5D}">
  <dimension ref="A1:E30"/>
  <sheetViews>
    <sheetView workbookViewId="0">
      <selection activeCell="E31" sqref="E31"/>
    </sheetView>
  </sheetViews>
  <sheetFormatPr defaultRowHeight="15" x14ac:dyDescent="0.2"/>
  <cols>
    <col min="1" max="1" width="15.6640625" bestFit="1" customWidth="1"/>
    <col min="2" max="2" width="12.109375" bestFit="1" customWidth="1"/>
    <col min="3" max="3" width="9.5546875" bestFit="1" customWidth="1"/>
    <col min="4" max="4" width="21.5546875" bestFit="1" customWidth="1"/>
  </cols>
  <sheetData>
    <row r="1" spans="1:5" x14ac:dyDescent="0.2">
      <c r="A1" s="33" t="s">
        <v>0</v>
      </c>
      <c r="B1" s="33"/>
      <c r="C1" s="33"/>
      <c r="D1" s="33"/>
    </row>
    <row r="2" spans="1:5" x14ac:dyDescent="0.2">
      <c r="A2" s="33"/>
      <c r="B2" s="33"/>
      <c r="C2" s="33"/>
      <c r="D2" s="33"/>
    </row>
    <row r="5" spans="1:5" ht="63" x14ac:dyDescent="0.2">
      <c r="A5" s="13" t="s">
        <v>20</v>
      </c>
      <c r="B5" s="13" t="s">
        <v>17</v>
      </c>
      <c r="C5" s="14" t="s">
        <v>1</v>
      </c>
    </row>
    <row r="6" spans="1:5" x14ac:dyDescent="0.2">
      <c r="A6" s="2">
        <v>0.53607984679590437</v>
      </c>
      <c r="B6" s="3">
        <v>0.95</v>
      </c>
      <c r="C6" s="4">
        <f>A6*B6</f>
        <v>0.50927585445610912</v>
      </c>
      <c r="D6" s="5"/>
    </row>
    <row r="7" spans="1:5" x14ac:dyDescent="0.2">
      <c r="A7" s="2">
        <v>79.179583919109248</v>
      </c>
      <c r="B7" s="3">
        <v>0.86</v>
      </c>
      <c r="C7" s="4">
        <f t="shared" ref="C7:C10" si="0">A7*B7</f>
        <v>68.09444217043395</v>
      </c>
      <c r="D7" s="5"/>
    </row>
    <row r="8" spans="1:5" x14ac:dyDescent="0.2">
      <c r="A8" s="2">
        <v>3.5097154693579826</v>
      </c>
      <c r="B8" s="3">
        <v>1.732</v>
      </c>
      <c r="C8" s="4">
        <f t="shared" si="0"/>
        <v>6.078827192928026</v>
      </c>
      <c r="D8" s="5"/>
    </row>
    <row r="9" spans="1:5" x14ac:dyDescent="0.2">
      <c r="A9" s="2">
        <v>0.36728450214660968</v>
      </c>
      <c r="B9" s="3">
        <v>2.6160000000000001</v>
      </c>
      <c r="C9" s="4">
        <f t="shared" si="0"/>
        <v>0.96081625761553091</v>
      </c>
      <c r="D9" s="5"/>
    </row>
    <row r="10" spans="1:5" ht="15.75" thickBot="1" x14ac:dyDescent="0.25">
      <c r="A10" s="2">
        <v>0.24985745638271833</v>
      </c>
      <c r="B10" s="3">
        <v>0.78500000000000003</v>
      </c>
      <c r="C10" s="4">
        <f t="shared" si="0"/>
        <v>0.1961381032604339</v>
      </c>
      <c r="D10" s="5"/>
    </row>
    <row r="11" spans="1:5" ht="16.5" thickBot="1" x14ac:dyDescent="0.3">
      <c r="A11" s="5"/>
      <c r="B11" s="1" t="s">
        <v>18</v>
      </c>
      <c r="C11" s="6">
        <f>SUM(C6:C10)</f>
        <v>75.83949957869406</v>
      </c>
      <c r="D11" s="7" t="s">
        <v>2</v>
      </c>
    </row>
    <row r="14" spans="1:5" x14ac:dyDescent="0.2">
      <c r="A14" s="34" t="s">
        <v>3</v>
      </c>
      <c r="B14" s="34"/>
      <c r="C14" s="34"/>
      <c r="D14" s="34"/>
      <c r="E14" s="34"/>
    </row>
    <row r="16" spans="1:5" x14ac:dyDescent="0.2">
      <c r="A16" s="8" t="s">
        <v>15</v>
      </c>
      <c r="B16" s="8" t="s">
        <v>16</v>
      </c>
      <c r="C16" s="8"/>
      <c r="D16" s="8" t="s">
        <v>19</v>
      </c>
    </row>
    <row r="17" spans="1:4" x14ac:dyDescent="0.2">
      <c r="A17" s="9">
        <v>3.5449999999999999</v>
      </c>
      <c r="B17" s="9">
        <v>2161</v>
      </c>
      <c r="C17" s="9" t="s">
        <v>4</v>
      </c>
      <c r="D17" s="12">
        <v>7.193758919795014E-4</v>
      </c>
    </row>
    <row r="18" spans="1:4" x14ac:dyDescent="0.2">
      <c r="A18" s="9">
        <v>3.93</v>
      </c>
      <c r="B18" s="9">
        <v>7932.5</v>
      </c>
      <c r="C18" s="9" t="s">
        <v>4</v>
      </c>
      <c r="D18" s="12">
        <v>2.6406521347188314E-3</v>
      </c>
    </row>
    <row r="19" spans="1:4" x14ac:dyDescent="0.2">
      <c r="A19" s="9">
        <v>4.399</v>
      </c>
      <c r="B19" s="9">
        <v>346266.1</v>
      </c>
      <c r="C19" s="9" t="s">
        <v>5</v>
      </c>
      <c r="D19" s="12">
        <v>0.11526861848670208</v>
      </c>
    </row>
    <row r="20" spans="1:4" x14ac:dyDescent="0.2">
      <c r="A20" s="9">
        <v>4.5730000000000004</v>
      </c>
      <c r="B20" s="9">
        <v>16103.8</v>
      </c>
      <c r="C20" s="9" t="s">
        <v>6</v>
      </c>
      <c r="D20" s="12">
        <v>5.3607984679590439E-3</v>
      </c>
    </row>
    <row r="21" spans="1:4" x14ac:dyDescent="0.2">
      <c r="A21" s="9">
        <v>4.9089999999999998</v>
      </c>
      <c r="B21" s="9">
        <v>2507.9</v>
      </c>
      <c r="C21" s="9" t="s">
        <v>4</v>
      </c>
      <c r="D21" s="12">
        <v>8.34855529613786E-4</v>
      </c>
    </row>
    <row r="22" spans="1:4" x14ac:dyDescent="0.2">
      <c r="A22" s="9">
        <v>5.0990000000000002</v>
      </c>
      <c r="B22" s="9">
        <v>3573</v>
      </c>
      <c r="C22" s="9" t="s">
        <v>4</v>
      </c>
      <c r="D22" s="12">
        <v>1.1894169653136318E-3</v>
      </c>
    </row>
    <row r="23" spans="1:4" x14ac:dyDescent="0.2">
      <c r="A23" s="9">
        <v>5.5519999999999996</v>
      </c>
      <c r="B23" s="9">
        <v>117647.5</v>
      </c>
      <c r="C23" s="9" t="s">
        <v>7</v>
      </c>
      <c r="D23" s="12">
        <v>3.916370904750504E-2</v>
      </c>
    </row>
    <row r="24" spans="1:4" x14ac:dyDescent="0.2">
      <c r="A24" s="9">
        <v>5.8010000000000002</v>
      </c>
      <c r="B24" s="9">
        <v>2378549</v>
      </c>
      <c r="C24" s="9" t="s">
        <v>8</v>
      </c>
      <c r="D24" s="12">
        <v>0.79179583919109253</v>
      </c>
    </row>
    <row r="25" spans="1:4" x14ac:dyDescent="0.2">
      <c r="A25" s="9">
        <v>6.0830000000000002</v>
      </c>
      <c r="B25" s="9">
        <v>105431.6</v>
      </c>
      <c r="C25" s="9" t="s">
        <v>9</v>
      </c>
      <c r="D25" s="12">
        <v>3.5097154693579824E-2</v>
      </c>
    </row>
    <row r="26" spans="1:4" x14ac:dyDescent="0.2">
      <c r="A26" s="9">
        <v>6.5279999999999996</v>
      </c>
      <c r="B26" s="9">
        <v>11033.2</v>
      </c>
      <c r="C26" s="9" t="s">
        <v>10</v>
      </c>
      <c r="D26" s="12">
        <v>3.6728450214660968E-3</v>
      </c>
    </row>
    <row r="27" spans="1:4" x14ac:dyDescent="0.2">
      <c r="A27" s="9">
        <v>6.875</v>
      </c>
      <c r="B27" s="9">
        <v>7505.7</v>
      </c>
      <c r="C27" s="9" t="s">
        <v>11</v>
      </c>
      <c r="D27" s="12">
        <v>2.4985745638271832E-3</v>
      </c>
    </row>
    <row r="28" spans="1:4" x14ac:dyDescent="0.2">
      <c r="A28" s="9">
        <v>7.1020000000000003</v>
      </c>
      <c r="B28" s="9">
        <v>2956.9</v>
      </c>
      <c r="C28" s="9" t="s">
        <v>12</v>
      </c>
      <c r="D28" s="12">
        <v>9.8432326468958237E-4</v>
      </c>
    </row>
    <row r="29" spans="1:4" x14ac:dyDescent="0.2">
      <c r="A29" s="9">
        <v>8.3829999999999991</v>
      </c>
      <c r="B29" s="9">
        <v>2324.6</v>
      </c>
      <c r="C29" s="9" t="s">
        <v>13</v>
      </c>
      <c r="D29" s="12">
        <v>7.7383674155277597E-4</v>
      </c>
    </row>
    <row r="30" spans="1:4" ht="15.75" x14ac:dyDescent="0.2">
      <c r="A30" s="11" t="s">
        <v>14</v>
      </c>
      <c r="B30" s="10">
        <v>3003992.8000000003</v>
      </c>
      <c r="C30" s="10"/>
      <c r="D30" s="10"/>
    </row>
  </sheetData>
  <mergeCells count="2">
    <mergeCell ref="A1:D2"/>
    <mergeCell ref="A14:E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DFCD3-39D8-403F-A9AC-8002EF552432}">
  <dimension ref="A1:F10"/>
  <sheetViews>
    <sheetView workbookViewId="0">
      <selection activeCell="E7" sqref="E7"/>
    </sheetView>
  </sheetViews>
  <sheetFormatPr defaultRowHeight="15" x14ac:dyDescent="0.2"/>
  <cols>
    <col min="1" max="1" width="28.21875" bestFit="1" customWidth="1"/>
    <col min="2" max="2" width="21.6640625" bestFit="1" customWidth="1"/>
    <col min="3" max="3" width="14.77734375" bestFit="1" customWidth="1"/>
    <col min="4" max="4" width="6.44140625" bestFit="1" customWidth="1"/>
    <col min="5" max="5" width="13.5546875" bestFit="1" customWidth="1"/>
    <col min="6" max="6" width="16.109375" bestFit="1" customWidth="1"/>
  </cols>
  <sheetData>
    <row r="1" spans="1:6" ht="15" customHeight="1" x14ac:dyDescent="0.2">
      <c r="A1" s="33" t="s">
        <v>36</v>
      </c>
      <c r="B1" s="33"/>
      <c r="C1" s="33"/>
      <c r="D1" s="33"/>
      <c r="E1" s="33"/>
    </row>
    <row r="2" spans="1:6" ht="15" customHeight="1" x14ac:dyDescent="0.2">
      <c r="A2" s="33"/>
      <c r="B2" s="33"/>
      <c r="C2" s="33"/>
      <c r="D2" s="33"/>
      <c r="E2" s="33"/>
    </row>
    <row r="5" spans="1:6" x14ac:dyDescent="0.2">
      <c r="A5" s="9" t="s">
        <v>39</v>
      </c>
      <c r="B5" s="9">
        <v>0.104</v>
      </c>
    </row>
    <row r="6" spans="1:6" ht="15.75" x14ac:dyDescent="0.2">
      <c r="A6" s="8" t="s">
        <v>24</v>
      </c>
      <c r="B6" s="8" t="s">
        <v>23</v>
      </c>
      <c r="C6" s="17" t="s">
        <v>37</v>
      </c>
      <c r="D6" s="17" t="s">
        <v>34</v>
      </c>
      <c r="E6" s="17" t="s">
        <v>35</v>
      </c>
    </row>
    <row r="7" spans="1:6" ht="15.75" x14ac:dyDescent="0.25">
      <c r="A7" s="27">
        <v>0.35099999999999998</v>
      </c>
      <c r="B7" s="15">
        <v>23</v>
      </c>
      <c r="C7" s="15">
        <f>($B$10-B7)*$B$5*12.69/A7</f>
        <v>78.207999999999984</v>
      </c>
      <c r="D7" s="42">
        <f>AVERAGE(C7:C9)</f>
        <v>79.238263991271481</v>
      </c>
      <c r="E7" s="42">
        <f>_xlfn.STDEV.S(C7:C9)</f>
        <v>1.0697175456839427</v>
      </c>
      <c r="F7" s="28" t="s">
        <v>2</v>
      </c>
    </row>
    <row r="8" spans="1:6" x14ac:dyDescent="0.2">
      <c r="A8" s="27">
        <v>0.33510000000000001</v>
      </c>
      <c r="B8" s="15">
        <v>23.4</v>
      </c>
      <c r="C8" s="15">
        <f t="shared" ref="C8:C9" si="0">($B$10-B8)*$B$5*12.69/A8</f>
        <v>80.343491495076094</v>
      </c>
      <c r="D8" s="9"/>
      <c r="E8" s="9"/>
    </row>
    <row r="9" spans="1:6" x14ac:dyDescent="0.2">
      <c r="A9" s="27">
        <v>0.35510000000000003</v>
      </c>
      <c r="B9" s="15">
        <v>22.5</v>
      </c>
      <c r="C9" s="15">
        <f t="shared" si="0"/>
        <v>79.16330047873835</v>
      </c>
      <c r="D9" s="9"/>
      <c r="E9" s="9"/>
    </row>
    <row r="10" spans="1:6" ht="15.75" x14ac:dyDescent="0.2">
      <c r="A10" s="10" t="s">
        <v>22</v>
      </c>
      <c r="B10" s="25">
        <v>43.8</v>
      </c>
      <c r="C10" s="11" t="s">
        <v>27</v>
      </c>
      <c r="D10" s="10"/>
      <c r="E10" s="10"/>
    </row>
  </sheetData>
  <mergeCells count="1">
    <mergeCell ref="A1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6568-B197-4D16-810B-DC318FD0686D}">
  <dimension ref="A1:H11"/>
  <sheetViews>
    <sheetView workbookViewId="0">
      <selection activeCell="I15" sqref="I15"/>
    </sheetView>
  </sheetViews>
  <sheetFormatPr defaultRowHeight="15" x14ac:dyDescent="0.2"/>
  <cols>
    <col min="1" max="1" width="26.21875" bestFit="1" customWidth="1"/>
    <col min="2" max="2" width="21.6640625" bestFit="1" customWidth="1"/>
    <col min="3" max="4" width="14.77734375" bestFit="1" customWidth="1"/>
    <col min="6" max="6" width="13.5546875" bestFit="1" customWidth="1"/>
  </cols>
  <sheetData>
    <row r="1" spans="1:8" ht="15" customHeight="1" x14ac:dyDescent="0.2">
      <c r="A1" s="33" t="s">
        <v>21</v>
      </c>
      <c r="B1" s="33"/>
      <c r="C1" s="33"/>
      <c r="D1" s="33"/>
      <c r="E1" s="33"/>
      <c r="F1" s="33"/>
    </row>
    <row r="2" spans="1:8" ht="15" customHeight="1" x14ac:dyDescent="0.2">
      <c r="A2" s="33"/>
      <c r="B2" s="33"/>
      <c r="C2" s="33"/>
      <c r="D2" s="33"/>
      <c r="E2" s="33"/>
      <c r="F2" s="33"/>
    </row>
    <row r="3" spans="1:8" ht="32.25" customHeight="1" x14ac:dyDescent="0.2">
      <c r="A3" s="39" t="s">
        <v>30</v>
      </c>
      <c r="B3" s="39"/>
      <c r="C3" s="39"/>
      <c r="D3" s="39"/>
      <c r="E3" s="39"/>
      <c r="F3" s="39"/>
    </row>
    <row r="4" spans="1:8" x14ac:dyDescent="0.2">
      <c r="A4" s="9" t="s">
        <v>25</v>
      </c>
      <c r="B4" s="9">
        <v>4.9000000000000002E-2</v>
      </c>
    </row>
    <row r="5" spans="1:8" ht="15.75" x14ac:dyDescent="0.2">
      <c r="A5" s="8" t="s">
        <v>24</v>
      </c>
      <c r="B5" s="8" t="s">
        <v>23</v>
      </c>
      <c r="C5" s="19" t="s">
        <v>26</v>
      </c>
      <c r="D5" s="17" t="s">
        <v>26</v>
      </c>
      <c r="E5" s="17" t="s">
        <v>34</v>
      </c>
      <c r="F5" s="17" t="s">
        <v>35</v>
      </c>
    </row>
    <row r="6" spans="1:8" ht="15.75" x14ac:dyDescent="0.2">
      <c r="A6" s="9">
        <v>7.04</v>
      </c>
      <c r="B6" s="9">
        <v>12.45</v>
      </c>
      <c r="C6" s="18">
        <f>((B6-$B$9)*40*$B$4)/A6</f>
        <v>3.3965909090909094</v>
      </c>
      <c r="D6" s="20">
        <f>C6*1.4</f>
        <v>4.7552272727272733</v>
      </c>
      <c r="E6" s="23">
        <f>AVERAGE(D6:D8)</f>
        <v>4.7707737632737635</v>
      </c>
      <c r="F6" s="23">
        <f>_xlfn.STDEV.S(D6:D8)</f>
        <v>1.6636212588987107E-2</v>
      </c>
      <c r="G6" s="40">
        <v>45349</v>
      </c>
      <c r="H6" s="41"/>
    </row>
    <row r="7" spans="1:8" ht="15.75" x14ac:dyDescent="0.2">
      <c r="A7" s="9">
        <v>7.02</v>
      </c>
      <c r="B7" s="9">
        <v>12.5</v>
      </c>
      <c r="C7" s="18">
        <f t="shared" ref="C7:C8" si="0">((B7-$B$9)*40*$B$4)/A7</f>
        <v>3.4202279202279207</v>
      </c>
      <c r="D7" s="20">
        <f t="shared" ref="D7:D8" si="1">C7*1.4</f>
        <v>4.7883190883190885</v>
      </c>
      <c r="E7" s="22"/>
      <c r="F7" s="22"/>
    </row>
    <row r="8" spans="1:8" ht="15.75" x14ac:dyDescent="0.2">
      <c r="A8" s="9">
        <v>7.02</v>
      </c>
      <c r="B8" s="9">
        <v>12.45</v>
      </c>
      <c r="C8" s="18">
        <f t="shared" si="0"/>
        <v>3.4062678062678069</v>
      </c>
      <c r="D8" s="20">
        <f t="shared" si="1"/>
        <v>4.7687749287749295</v>
      </c>
      <c r="E8" s="22"/>
      <c r="F8" s="22"/>
    </row>
    <row r="9" spans="1:8" ht="15.75" x14ac:dyDescent="0.2">
      <c r="A9" s="10" t="s">
        <v>22</v>
      </c>
      <c r="B9" s="10">
        <v>0.25</v>
      </c>
      <c r="C9" s="16" t="s">
        <v>27</v>
      </c>
      <c r="D9" s="21" t="s">
        <v>27</v>
      </c>
      <c r="E9" s="11"/>
      <c r="F9" s="11"/>
    </row>
    <row r="10" spans="1:8" x14ac:dyDescent="0.2">
      <c r="C10" s="35" t="s">
        <v>28</v>
      </c>
      <c r="D10" s="37" t="s">
        <v>29</v>
      </c>
    </row>
    <row r="11" spans="1:8" x14ac:dyDescent="0.2">
      <c r="C11" s="36"/>
      <c r="D11" s="38"/>
    </row>
  </sheetData>
  <mergeCells count="5">
    <mergeCell ref="C10:C11"/>
    <mergeCell ref="D10:D11"/>
    <mergeCell ref="A3:F3"/>
    <mergeCell ref="G6:H6"/>
    <mergeCell ref="A1:F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403AB-C8F8-4E94-8D24-C37BF317AD47}">
  <dimension ref="A1:H14"/>
  <sheetViews>
    <sheetView tabSelected="1" workbookViewId="0">
      <selection activeCell="E7" sqref="E7"/>
    </sheetView>
  </sheetViews>
  <sheetFormatPr defaultRowHeight="15" x14ac:dyDescent="0.2"/>
  <cols>
    <col min="1" max="1" width="26.21875" bestFit="1" customWidth="1"/>
    <col min="2" max="2" width="21.6640625" bestFit="1" customWidth="1"/>
    <col min="3" max="3" width="21.33203125" bestFit="1" customWidth="1"/>
    <col min="4" max="4" width="7.44140625" bestFit="1" customWidth="1"/>
    <col min="5" max="5" width="13.5546875" bestFit="1" customWidth="1"/>
  </cols>
  <sheetData>
    <row r="1" spans="1:8" ht="15" customHeight="1" x14ac:dyDescent="0.2">
      <c r="A1" s="33" t="s">
        <v>31</v>
      </c>
      <c r="B1" s="33"/>
      <c r="C1" s="33"/>
      <c r="D1" s="33"/>
      <c r="E1" s="33"/>
      <c r="F1" s="33"/>
      <c r="G1" s="33"/>
      <c r="H1" s="33"/>
    </row>
    <row r="2" spans="1:8" ht="15" customHeight="1" x14ac:dyDescent="0.2">
      <c r="A2" s="33"/>
      <c r="B2" s="33"/>
      <c r="C2" s="33"/>
      <c r="D2" s="33"/>
      <c r="E2" s="33"/>
      <c r="F2" s="33"/>
      <c r="G2" s="33"/>
      <c r="H2" s="33"/>
    </row>
    <row r="5" spans="1:8" x14ac:dyDescent="0.2">
      <c r="A5" s="9" t="s">
        <v>33</v>
      </c>
      <c r="B5" s="9">
        <v>0.49890000000000001</v>
      </c>
    </row>
    <row r="6" spans="1:8" ht="15.75" x14ac:dyDescent="0.2">
      <c r="A6" s="8" t="s">
        <v>24</v>
      </c>
      <c r="B6" s="8" t="s">
        <v>23</v>
      </c>
      <c r="C6" s="17" t="s">
        <v>32</v>
      </c>
      <c r="D6" s="17" t="s">
        <v>34</v>
      </c>
      <c r="E6" s="17" t="s">
        <v>35</v>
      </c>
    </row>
    <row r="7" spans="1:8" ht="15.75" x14ac:dyDescent="0.2">
      <c r="A7" s="24">
        <v>2</v>
      </c>
      <c r="B7" s="24">
        <v>1.55</v>
      </c>
      <c r="C7" s="26">
        <f>(($B$10-B7)*$B$5*56.1)/A7</f>
        <v>190.32037200000002</v>
      </c>
      <c r="D7" s="43">
        <f>AVERAGE(C7:C9)</f>
        <v>189.06492425733404</v>
      </c>
      <c r="E7" s="43">
        <f>_xlfn.STDEV.S(C7:C9)</f>
        <v>1.1134402582371834</v>
      </c>
    </row>
    <row r="8" spans="1:8" ht="15.75" x14ac:dyDescent="0.2">
      <c r="A8" s="15">
        <v>2.0099999999999998</v>
      </c>
      <c r="B8" s="15">
        <v>1.6</v>
      </c>
      <c r="C8" s="20">
        <f t="shared" ref="C8:C9" si="0">(($B$10-B8)*$B$5*56.1)/A8</f>
        <v>188.67727835820901</v>
      </c>
      <c r="D8" s="22"/>
      <c r="E8" s="22"/>
    </row>
    <row r="9" spans="1:8" ht="15.75" x14ac:dyDescent="0.2">
      <c r="A9" s="15">
        <v>2.0299999999999998</v>
      </c>
      <c r="B9" s="15">
        <v>1.5</v>
      </c>
      <c r="C9" s="20">
        <f t="shared" si="0"/>
        <v>188.19712241379312</v>
      </c>
      <c r="D9" s="22"/>
      <c r="E9" s="22"/>
    </row>
    <row r="10" spans="1:8" ht="15.75" x14ac:dyDescent="0.2">
      <c r="A10" s="10" t="s">
        <v>22</v>
      </c>
      <c r="B10" s="25">
        <v>15.15</v>
      </c>
      <c r="C10" s="21" t="s">
        <v>27</v>
      </c>
      <c r="D10" s="11"/>
      <c r="E10" s="11"/>
    </row>
    <row r="11" spans="1:8" x14ac:dyDescent="0.2">
      <c r="A11" s="9"/>
      <c r="B11" s="9"/>
      <c r="C11" s="9"/>
      <c r="D11" s="9"/>
    </row>
    <row r="12" spans="1:8" x14ac:dyDescent="0.2">
      <c r="A12" s="9"/>
      <c r="B12" s="9"/>
      <c r="C12" s="9"/>
      <c r="D12" s="9"/>
    </row>
    <row r="13" spans="1:8" x14ac:dyDescent="0.2">
      <c r="A13" s="9"/>
      <c r="B13" s="9"/>
      <c r="C13" s="9"/>
      <c r="D13" s="9"/>
    </row>
    <row r="14" spans="1:8" x14ac:dyDescent="0.2">
      <c r="A14" s="9"/>
      <c r="B14" s="9"/>
      <c r="C14" s="9"/>
      <c r="D14" s="9"/>
    </row>
  </sheetData>
  <mergeCells count="1">
    <mergeCell ref="A1:H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7F63E-52C4-47AD-BA43-2B85F96BDB70}">
  <dimension ref="A1:K47"/>
  <sheetViews>
    <sheetView topLeftCell="A33" workbookViewId="0">
      <selection activeCell="G40" sqref="G40"/>
    </sheetView>
  </sheetViews>
  <sheetFormatPr defaultRowHeight="15" x14ac:dyDescent="0.2"/>
  <cols>
    <col min="1" max="1" width="31.77734375" bestFit="1" customWidth="1"/>
    <col min="2" max="2" width="25.5546875" bestFit="1" customWidth="1"/>
    <col min="3" max="3" width="21.33203125" bestFit="1" customWidth="1"/>
    <col min="4" max="4" width="6.44140625" bestFit="1" customWidth="1"/>
    <col min="5" max="5" width="13.5546875" bestFit="1" customWidth="1"/>
    <col min="8" max="8" width="12.21875" bestFit="1" customWidth="1"/>
    <col min="10" max="10" width="11.5546875" bestFit="1" customWidth="1"/>
  </cols>
  <sheetData>
    <row r="1" spans="1:11" x14ac:dyDescent="0.2">
      <c r="A1" s="33" t="s">
        <v>38</v>
      </c>
      <c r="B1" s="33"/>
      <c r="C1" s="33"/>
      <c r="D1" s="33"/>
      <c r="E1" s="33"/>
      <c r="F1" s="33"/>
      <c r="G1" s="33"/>
      <c r="H1" s="33"/>
    </row>
    <row r="2" spans="1:11" x14ac:dyDescent="0.2">
      <c r="A2" s="33"/>
      <c r="B2" s="33"/>
      <c r="C2" s="33"/>
      <c r="D2" s="33"/>
      <c r="E2" s="33"/>
      <c r="F2" s="33"/>
      <c r="G2" s="33"/>
      <c r="H2" s="33"/>
    </row>
    <row r="5" spans="1:11" x14ac:dyDescent="0.2">
      <c r="A5" s="9" t="s">
        <v>39</v>
      </c>
      <c r="B5" s="9">
        <v>0.104</v>
      </c>
    </row>
    <row r="6" spans="1:11" ht="15.75" x14ac:dyDescent="0.2">
      <c r="A6" s="8" t="s">
        <v>24</v>
      </c>
      <c r="B6" s="8" t="s">
        <v>23</v>
      </c>
      <c r="C6" s="17" t="s">
        <v>40</v>
      </c>
      <c r="D6" s="17" t="s">
        <v>34</v>
      </c>
      <c r="E6" s="17" t="s">
        <v>35</v>
      </c>
      <c r="H6" s="30" t="s">
        <v>43</v>
      </c>
      <c r="I6" s="30" t="s">
        <v>44</v>
      </c>
      <c r="J6" s="30" t="s">
        <v>45</v>
      </c>
    </row>
    <row r="7" spans="1:11" ht="15.75" x14ac:dyDescent="0.2">
      <c r="A7" s="24">
        <v>2.02</v>
      </c>
      <c r="B7" s="24">
        <v>0.6</v>
      </c>
      <c r="C7" s="26">
        <f>((B7-$B$10)*$B$5*1000)/A7</f>
        <v>28.316831683168314</v>
      </c>
      <c r="D7" s="23">
        <f>AVERAGE(C7:C9)</f>
        <v>28.363791603040898</v>
      </c>
      <c r="E7" s="23">
        <f>_xlfn.STDEV.S(C7:C9)</f>
        <v>8.133696713868184E-2</v>
      </c>
      <c r="H7" s="29" t="s">
        <v>46</v>
      </c>
      <c r="I7" s="29">
        <v>70</v>
      </c>
      <c r="J7" s="31">
        <v>79.238263991271481</v>
      </c>
    </row>
    <row r="8" spans="1:11" ht="15.75" x14ac:dyDescent="0.2">
      <c r="A8" s="15">
        <v>2.0099999999999998</v>
      </c>
      <c r="B8" s="15">
        <v>0.6</v>
      </c>
      <c r="C8" s="26">
        <f t="shared" ref="C8:C9" si="0">((B8-$B$10)*$B$5*1000)/A8</f>
        <v>28.457711442786071</v>
      </c>
      <c r="D8" s="22"/>
      <c r="E8" s="22"/>
      <c r="H8" s="29" t="s">
        <v>47</v>
      </c>
      <c r="I8" s="29">
        <v>0.59</v>
      </c>
      <c r="J8" s="31">
        <v>30.901153231385834</v>
      </c>
    </row>
    <row r="9" spans="1:11" ht="15.75" x14ac:dyDescent="0.2">
      <c r="A9" s="15">
        <v>2.02</v>
      </c>
      <c r="B9" s="15">
        <v>0.6</v>
      </c>
      <c r="C9" s="26">
        <f t="shared" si="0"/>
        <v>28.316831683168314</v>
      </c>
      <c r="D9" s="22"/>
      <c r="E9" s="22"/>
      <c r="H9" s="29" t="s">
        <v>48</v>
      </c>
      <c r="I9">
        <v>201.18</v>
      </c>
      <c r="J9" s="31">
        <v>189.06492425733404</v>
      </c>
    </row>
    <row r="10" spans="1:11" ht="15.75" x14ac:dyDescent="0.2">
      <c r="A10" s="10" t="s">
        <v>22</v>
      </c>
      <c r="B10" s="25">
        <v>0.05</v>
      </c>
      <c r="C10" s="21" t="s">
        <v>27</v>
      </c>
      <c r="D10" s="11"/>
      <c r="E10" s="11"/>
      <c r="H10" s="29" t="s">
        <v>49</v>
      </c>
      <c r="I10">
        <v>3.29</v>
      </c>
      <c r="J10" s="31">
        <v>4.7707737632737635</v>
      </c>
      <c r="K10" s="9" t="s">
        <v>50</v>
      </c>
    </row>
    <row r="11" spans="1:11" x14ac:dyDescent="0.2">
      <c r="A11" s="9"/>
      <c r="B11" s="9"/>
      <c r="C11" s="9"/>
      <c r="D11" s="9"/>
      <c r="J11" s="31">
        <v>3.4</v>
      </c>
      <c r="K11" s="9" t="s">
        <v>51</v>
      </c>
    </row>
    <row r="12" spans="1:11" x14ac:dyDescent="0.2">
      <c r="A12" s="9"/>
      <c r="B12" s="9"/>
      <c r="C12" s="9"/>
      <c r="D12" s="9"/>
    </row>
    <row r="13" spans="1:11" x14ac:dyDescent="0.2">
      <c r="A13" s="9" t="s">
        <v>42</v>
      </c>
      <c r="B13" s="9"/>
      <c r="C13" s="9"/>
      <c r="D13" s="9"/>
    </row>
    <row r="14" spans="1:11" x14ac:dyDescent="0.2">
      <c r="A14" s="9" t="s">
        <v>39</v>
      </c>
      <c r="B14" s="9">
        <v>8.9999999999999993E-3</v>
      </c>
    </row>
    <row r="15" spans="1:11" ht="15.75" x14ac:dyDescent="0.2">
      <c r="A15" s="8" t="s">
        <v>24</v>
      </c>
      <c r="B15" s="8" t="s">
        <v>23</v>
      </c>
      <c r="C15" s="17" t="s">
        <v>40</v>
      </c>
      <c r="D15" s="17" t="s">
        <v>34</v>
      </c>
      <c r="E15" s="17" t="s">
        <v>35</v>
      </c>
    </row>
    <row r="16" spans="1:11" ht="15.75" x14ac:dyDescent="0.2">
      <c r="A16" s="24">
        <v>5</v>
      </c>
      <c r="B16" s="24">
        <v>18.399999999999999</v>
      </c>
      <c r="C16" s="26">
        <f>((B16-$B$19)*$B$14*1000)/A16</f>
        <v>32.76</v>
      </c>
      <c r="D16" s="23">
        <f>AVERAGE(C16:C18)</f>
        <v>30.901153231385834</v>
      </c>
      <c r="E16" s="23">
        <f>_xlfn.STDEV.S(C16:C18)</f>
        <v>2.3016578727059174</v>
      </c>
    </row>
    <row r="17" spans="1:5" ht="15.75" x14ac:dyDescent="0.2">
      <c r="A17" s="15">
        <v>5.01</v>
      </c>
      <c r="B17" s="15">
        <v>17.8</v>
      </c>
      <c r="C17" s="26">
        <f t="shared" ref="C17:C18" si="1">((B17-$B$19)*$B$14*1000)/A17</f>
        <v>31.616766467065872</v>
      </c>
      <c r="D17" s="22"/>
      <c r="E17" s="22"/>
    </row>
    <row r="18" spans="1:5" ht="15.75" x14ac:dyDescent="0.2">
      <c r="A18" s="15">
        <v>5.0199999999999996</v>
      </c>
      <c r="B18" s="15">
        <v>16</v>
      </c>
      <c r="C18" s="26">
        <f t="shared" si="1"/>
        <v>28.326693227091635</v>
      </c>
      <c r="D18" s="22"/>
      <c r="E18" s="22"/>
    </row>
    <row r="19" spans="1:5" ht="15.75" x14ac:dyDescent="0.2">
      <c r="A19" s="10" t="s">
        <v>22</v>
      </c>
      <c r="B19" s="25">
        <v>0.2</v>
      </c>
      <c r="C19" s="32" t="s">
        <v>27</v>
      </c>
      <c r="D19" s="11"/>
      <c r="E19" s="11"/>
    </row>
    <row r="20" spans="1:5" ht="15.75" x14ac:dyDescent="0.2">
      <c r="A20" s="9"/>
      <c r="B20" s="15"/>
      <c r="C20" s="20"/>
      <c r="D20" s="22"/>
      <c r="E20" s="22"/>
    </row>
    <row r="21" spans="1:5" x14ac:dyDescent="0.2">
      <c r="A21" t="s">
        <v>41</v>
      </c>
    </row>
    <row r="22" spans="1:5" x14ac:dyDescent="0.2">
      <c r="A22" s="9" t="s">
        <v>39</v>
      </c>
      <c r="B22" s="9">
        <v>8.9999999999999993E-3</v>
      </c>
    </row>
    <row r="23" spans="1:5" ht="15.75" x14ac:dyDescent="0.2">
      <c r="A23" s="8" t="s">
        <v>24</v>
      </c>
      <c r="B23" s="8" t="s">
        <v>23</v>
      </c>
      <c r="C23" s="17" t="s">
        <v>40</v>
      </c>
      <c r="D23" s="17" t="s">
        <v>34</v>
      </c>
      <c r="E23" s="17" t="s">
        <v>35</v>
      </c>
    </row>
    <row r="24" spans="1:5" ht="15.75" x14ac:dyDescent="0.2">
      <c r="A24" s="24">
        <v>5.0199999999999996</v>
      </c>
      <c r="B24" s="24">
        <v>8.1999999999999993</v>
      </c>
      <c r="C24" s="26">
        <f>((B24-$B$19)*$B$14*1000)/A24</f>
        <v>14.342629482071711</v>
      </c>
      <c r="D24" s="23">
        <f>AVERAGE(C24:C26)</f>
        <v>14.123187250996017</v>
      </c>
      <c r="E24" s="23">
        <f>_xlfn.STDEV.S(C24:C26)</f>
        <v>0.77034341724478517</v>
      </c>
    </row>
    <row r="25" spans="1:5" ht="15.75" x14ac:dyDescent="0.2">
      <c r="A25" s="15">
        <v>5</v>
      </c>
      <c r="B25" s="15">
        <v>8.4</v>
      </c>
      <c r="C25" s="26">
        <f t="shared" ref="C25:C26" si="2">((B25-$B$19)*$B$14*1000)/A25</f>
        <v>14.760000000000002</v>
      </c>
      <c r="D25" s="22"/>
      <c r="E25" s="22"/>
    </row>
    <row r="26" spans="1:5" ht="15.75" x14ac:dyDescent="0.2">
      <c r="A26" s="15">
        <v>5.0199999999999996</v>
      </c>
      <c r="B26" s="15">
        <v>7.6</v>
      </c>
      <c r="C26" s="26">
        <f t="shared" si="2"/>
        <v>13.266932270916335</v>
      </c>
      <c r="D26" s="22"/>
      <c r="E26" s="22"/>
    </row>
    <row r="27" spans="1:5" ht="15.75" x14ac:dyDescent="0.2">
      <c r="A27" s="10" t="s">
        <v>22</v>
      </c>
      <c r="B27" s="25">
        <v>0.2</v>
      </c>
      <c r="C27" s="32" t="s">
        <v>27</v>
      </c>
      <c r="D27" s="11"/>
      <c r="E27" s="11"/>
    </row>
    <row r="31" spans="1:5" x14ac:dyDescent="0.2">
      <c r="A31" t="s">
        <v>52</v>
      </c>
    </row>
    <row r="32" spans="1:5" x14ac:dyDescent="0.2">
      <c r="A32" s="9" t="s">
        <v>39</v>
      </c>
      <c r="B32" s="9">
        <v>8.9999999999999993E-3</v>
      </c>
    </row>
    <row r="33" spans="1:5" ht="15.75" x14ac:dyDescent="0.2">
      <c r="A33" s="8" t="s">
        <v>24</v>
      </c>
      <c r="B33" s="8" t="s">
        <v>23</v>
      </c>
      <c r="C33" s="17" t="s">
        <v>40</v>
      </c>
      <c r="D33" s="17" t="s">
        <v>34</v>
      </c>
      <c r="E33" s="17" t="s">
        <v>35</v>
      </c>
    </row>
    <row r="34" spans="1:5" ht="15.75" x14ac:dyDescent="0.2">
      <c r="A34" s="24">
        <v>2</v>
      </c>
      <c r="B34" s="24">
        <v>1.9</v>
      </c>
      <c r="C34" s="26">
        <f>((B34-$B$37)*$B$32*1000)/A34</f>
        <v>8.0999999999999979</v>
      </c>
      <c r="D34" s="23">
        <f>AVERAGE(C34:C36)</f>
        <v>8.3108208955223866</v>
      </c>
      <c r="E34" s="23">
        <f>_xlfn.STDEV.S(C34:C36)</f>
        <v>0.20410106684918017</v>
      </c>
    </row>
    <row r="35" spans="1:5" ht="15.75" x14ac:dyDescent="0.2">
      <c r="A35" s="15">
        <v>2.0099999999999998</v>
      </c>
      <c r="B35" s="15">
        <v>2</v>
      </c>
      <c r="C35" s="26">
        <f>((B35-$B$37)*$B$32*1000)/A35</f>
        <v>8.5074626865671643</v>
      </c>
      <c r="D35" s="22"/>
      <c r="E35" s="22"/>
    </row>
    <row r="36" spans="1:5" ht="15.75" x14ac:dyDescent="0.2">
      <c r="A36" s="15">
        <v>2</v>
      </c>
      <c r="B36" s="15">
        <v>1.95</v>
      </c>
      <c r="C36" s="26">
        <f>((B36-$B$37)*$B$32*1000)/A36</f>
        <v>8.3249999999999993</v>
      </c>
      <c r="D36" s="22"/>
      <c r="E36" s="22"/>
    </row>
    <row r="37" spans="1:5" ht="15.75" x14ac:dyDescent="0.2">
      <c r="A37" s="10" t="s">
        <v>22</v>
      </c>
      <c r="B37" s="25">
        <v>0.1</v>
      </c>
      <c r="C37" s="32" t="s">
        <v>27</v>
      </c>
      <c r="D37" s="11"/>
      <c r="E37" s="11"/>
    </row>
    <row r="38" spans="1:5" x14ac:dyDescent="0.2">
      <c r="B38" s="15"/>
    </row>
    <row r="40" spans="1:5" x14ac:dyDescent="0.2">
      <c r="B40" t="s">
        <v>54</v>
      </c>
    </row>
    <row r="41" spans="1:5" x14ac:dyDescent="0.2">
      <c r="A41" t="s">
        <v>53</v>
      </c>
    </row>
    <row r="42" spans="1:5" x14ac:dyDescent="0.2">
      <c r="A42" s="9" t="s">
        <v>39</v>
      </c>
      <c r="B42" s="9">
        <v>8.9999999999999993E-3</v>
      </c>
    </row>
    <row r="43" spans="1:5" ht="15.75" x14ac:dyDescent="0.2">
      <c r="A43" s="8" t="s">
        <v>24</v>
      </c>
      <c r="B43" s="8" t="s">
        <v>23</v>
      </c>
      <c r="C43" s="17" t="s">
        <v>40</v>
      </c>
      <c r="D43" s="17" t="s">
        <v>34</v>
      </c>
      <c r="E43" s="17" t="s">
        <v>35</v>
      </c>
    </row>
    <row r="44" spans="1:5" ht="15.75" x14ac:dyDescent="0.2">
      <c r="A44" s="24">
        <v>2.0099999999999998</v>
      </c>
      <c r="B44" s="24">
        <v>6.4</v>
      </c>
      <c r="C44" s="26">
        <f t="shared" ref="C44" si="3">((B44-$B$47)*$B$42*1000)/A44</f>
        <v>28.208955223880601</v>
      </c>
      <c r="D44" s="23">
        <f>AVERAGE(C44:C46)</f>
        <v>29.823777153834786</v>
      </c>
      <c r="E44" s="23">
        <f>_xlfn.STDEV.S(C44:C46)</f>
        <v>1.4378453484201559</v>
      </c>
    </row>
    <row r="45" spans="1:5" ht="15.75" x14ac:dyDescent="0.2">
      <c r="A45" s="15">
        <v>2.02</v>
      </c>
      <c r="B45" s="15">
        <v>7.05</v>
      </c>
      <c r="C45" s="26">
        <f>((B45-$B$47)*$B$42*1000)/A45</f>
        <v>30.965346534653463</v>
      </c>
      <c r="D45" s="22"/>
      <c r="E45" s="22"/>
    </row>
    <row r="46" spans="1:5" ht="15.75" x14ac:dyDescent="0.2">
      <c r="A46" s="15">
        <v>2.02</v>
      </c>
      <c r="B46" s="15">
        <v>6.9</v>
      </c>
      <c r="C46" s="26">
        <f>((B46-$B$47)*$B$42*1000)/A46</f>
        <v>30.297029702970299</v>
      </c>
      <c r="D46" s="22"/>
      <c r="E46" s="22"/>
    </row>
    <row r="47" spans="1:5" ht="15.75" x14ac:dyDescent="0.2">
      <c r="A47" s="10" t="s">
        <v>22</v>
      </c>
      <c r="B47" s="25">
        <v>0.1</v>
      </c>
      <c r="C47" s="32" t="s">
        <v>27</v>
      </c>
      <c r="D47" s="11"/>
      <c r="E47" s="11"/>
    </row>
  </sheetData>
  <mergeCells count="1">
    <mergeCell ref="A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Índice de Iodo - metd. indireto</vt:lpstr>
      <vt:lpstr>Índice de Iodo - metd. direto</vt:lpstr>
      <vt:lpstr>Índice de Acidez</vt:lpstr>
      <vt:lpstr>Índice de Saponificação</vt:lpstr>
      <vt:lpstr>Índice de Peróxido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Francisco Cabral do Nascimento</dc:creator>
  <cp:lastModifiedBy>João Francisco Cabral do Nascimento</cp:lastModifiedBy>
  <dcterms:created xsi:type="dcterms:W3CDTF">2024-04-06T18:57:13Z</dcterms:created>
  <dcterms:modified xsi:type="dcterms:W3CDTF">2025-03-10T13:36:54Z</dcterms:modified>
</cp:coreProperties>
</file>