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977de9933658e4f/Documentos/Mestrado/Resultados - TAG dietético Patauá/Caracterização de enzimas/"/>
    </mc:Choice>
  </mc:AlternateContent>
  <xr:revisionPtr revIDLastSave="639" documentId="13_ncr:1_{82E7DB52-3F0B-4A70-9748-550C765E2F75}" xr6:coauthVersionLast="47" xr6:coauthVersionMax="47" xr10:uidLastSave="{5175804E-3B01-400D-B355-0E1E52C95F71}"/>
  <bookViews>
    <workbookView xWindow="-120" yWindow="-120" windowWidth="20730" windowHeight="11040" firstSheet="4" activeTab="6" xr2:uid="{3FEFB679-B4F7-431F-8933-BD668BC7AE09}"/>
  </bookViews>
  <sheets>
    <sheet name="Estabilidade Patauá Oil 50ºC" sheetId="2" r:id="rId1"/>
    <sheet name="Estabilidade Patauá Oil 66.8 ºC" sheetId="3" r:id="rId2"/>
    <sheet name="Estabilidade C10 66.8 ºC (3)" sheetId="9" r:id="rId3"/>
    <sheet name="Estabilidade C10 66.8 ºC (rept)" sheetId="8" r:id="rId4"/>
    <sheet name="após reuso MLM" sheetId="5" r:id="rId5"/>
    <sheet name="Estabilidade C4  50 ºC (2)" sheetId="6" r:id="rId6"/>
    <sheet name="Sheet1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5" l="1"/>
  <c r="K12" i="5"/>
  <c r="B25" i="5"/>
  <c r="H30" i="5" s="1"/>
  <c r="B24" i="5"/>
  <c r="B7" i="5"/>
  <c r="B6" i="5"/>
  <c r="F35" i="9"/>
  <c r="G35" i="9" s="1"/>
  <c r="F34" i="9"/>
  <c r="G34" i="9" s="1"/>
  <c r="G33" i="9"/>
  <c r="F33" i="9"/>
  <c r="F32" i="9"/>
  <c r="G32" i="9" s="1"/>
  <c r="F31" i="9"/>
  <c r="G31" i="9" s="1"/>
  <c r="K30" i="9"/>
  <c r="F30" i="9"/>
  <c r="G30" i="9" s="1"/>
  <c r="B25" i="9"/>
  <c r="B24" i="9"/>
  <c r="H30" i="9" s="1"/>
  <c r="G17" i="9"/>
  <c r="F17" i="9"/>
  <c r="F16" i="9"/>
  <c r="G16" i="9" s="1"/>
  <c r="F15" i="9"/>
  <c r="G15" i="9" s="1"/>
  <c r="F14" i="9"/>
  <c r="G14" i="9" s="1"/>
  <c r="G13" i="9"/>
  <c r="F13" i="9"/>
  <c r="K12" i="9"/>
  <c r="F12" i="9"/>
  <c r="G12" i="9" s="1"/>
  <c r="B7" i="9"/>
  <c r="B6" i="9"/>
  <c r="H12" i="9" s="1"/>
  <c r="K30" i="8"/>
  <c r="K12" i="8"/>
  <c r="B25" i="8"/>
  <c r="B24" i="8"/>
  <c r="B7" i="8"/>
  <c r="B6" i="8"/>
  <c r="F35" i="8"/>
  <c r="G35" i="8" s="1"/>
  <c r="F34" i="8"/>
  <c r="G34" i="8" s="1"/>
  <c r="F33" i="8"/>
  <c r="G33" i="8" s="1"/>
  <c r="F32" i="8"/>
  <c r="G32" i="8" s="1"/>
  <c r="F31" i="8"/>
  <c r="G31" i="8" s="1"/>
  <c r="F30" i="8"/>
  <c r="G30" i="8" s="1"/>
  <c r="F17" i="8"/>
  <c r="G17" i="8" s="1"/>
  <c r="F16" i="8"/>
  <c r="G16" i="8" s="1"/>
  <c r="F15" i="8"/>
  <c r="G15" i="8" s="1"/>
  <c r="F14" i="8"/>
  <c r="G14" i="8" s="1"/>
  <c r="F13" i="8"/>
  <c r="G13" i="8" s="1"/>
  <c r="F12" i="8"/>
  <c r="G12" i="8" s="1"/>
  <c r="F13" i="2"/>
  <c r="G35" i="6"/>
  <c r="F35" i="6"/>
  <c r="F34" i="6"/>
  <c r="G34" i="6" s="1"/>
  <c r="F33" i="6"/>
  <c r="G33" i="6" s="1"/>
  <c r="F32" i="6"/>
  <c r="G32" i="6" s="1"/>
  <c r="F31" i="6"/>
  <c r="G31" i="6" s="1"/>
  <c r="K30" i="6"/>
  <c r="H30" i="6"/>
  <c r="H31" i="6" s="1"/>
  <c r="G30" i="6"/>
  <c r="F30" i="6"/>
  <c r="B25" i="6"/>
  <c r="B24" i="6"/>
  <c r="G17" i="6"/>
  <c r="F17" i="6"/>
  <c r="G16" i="6"/>
  <c r="G15" i="6"/>
  <c r="G14" i="6"/>
  <c r="G13" i="6"/>
  <c r="K12" i="6"/>
  <c r="F12" i="6"/>
  <c r="G12" i="6" s="1"/>
  <c r="B7" i="6"/>
  <c r="B6" i="6"/>
  <c r="H12" i="6" s="1"/>
  <c r="F35" i="5"/>
  <c r="G35" i="5" s="1"/>
  <c r="F34" i="5"/>
  <c r="G34" i="5" s="1"/>
  <c r="F33" i="5"/>
  <c r="G33" i="5" s="1"/>
  <c r="F32" i="5"/>
  <c r="G32" i="5" s="1"/>
  <c r="F31" i="5"/>
  <c r="G31" i="5" s="1"/>
  <c r="F30" i="5"/>
  <c r="G30" i="5" s="1"/>
  <c r="F17" i="5"/>
  <c r="G17" i="5" s="1"/>
  <c r="F16" i="5"/>
  <c r="G16" i="5" s="1"/>
  <c r="F15" i="5"/>
  <c r="G15" i="5" s="1"/>
  <c r="F14" i="5"/>
  <c r="G14" i="5" s="1"/>
  <c r="F13" i="5"/>
  <c r="G13" i="5" s="1"/>
  <c r="F12" i="5"/>
  <c r="G12" i="5" s="1"/>
  <c r="K31" i="3"/>
  <c r="K13" i="3"/>
  <c r="B26" i="3"/>
  <c r="B25" i="3"/>
  <c r="B8" i="3"/>
  <c r="B7" i="3"/>
  <c r="K31" i="2"/>
  <c r="K13" i="2"/>
  <c r="B26" i="2"/>
  <c r="B25" i="2"/>
  <c r="B8" i="2"/>
  <c r="B7" i="2"/>
  <c r="H12" i="5" l="1"/>
  <c r="I12" i="5" s="1"/>
  <c r="I12" i="9"/>
  <c r="H13" i="9"/>
  <c r="I30" i="9"/>
  <c r="H31" i="9"/>
  <c r="H30" i="8"/>
  <c r="I30" i="8" s="1"/>
  <c r="H12" i="8"/>
  <c r="I12" i="8" s="1"/>
  <c r="I31" i="6"/>
  <c r="H32" i="6"/>
  <c r="I12" i="6"/>
  <c r="H13" i="6"/>
  <c r="I30" i="6"/>
  <c r="I30" i="5"/>
  <c r="H31" i="5"/>
  <c r="J1" i="3"/>
  <c r="H13" i="3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H31" i="2"/>
  <c r="F18" i="2"/>
  <c r="F17" i="2"/>
  <c r="F16" i="2"/>
  <c r="F15" i="2"/>
  <c r="F14" i="2"/>
  <c r="H13" i="5" l="1"/>
  <c r="H14" i="5" s="1"/>
  <c r="H14" i="9"/>
  <c r="I13" i="9"/>
  <c r="H32" i="9"/>
  <c r="I31" i="9"/>
  <c r="J31" i="9" s="1"/>
  <c r="J13" i="9"/>
  <c r="H31" i="8"/>
  <c r="H32" i="8" s="1"/>
  <c r="H13" i="8"/>
  <c r="I13" i="8" s="1"/>
  <c r="J13" i="8" s="1"/>
  <c r="H14" i="8"/>
  <c r="J31" i="6"/>
  <c r="I13" i="6"/>
  <c r="J13" i="6" s="1"/>
  <c r="H14" i="6"/>
  <c r="H33" i="6"/>
  <c r="I32" i="6"/>
  <c r="J32" i="6" s="1"/>
  <c r="H32" i="5"/>
  <c r="I31" i="5"/>
  <c r="J31" i="5" s="1"/>
  <c r="I13" i="3"/>
  <c r="H31" i="3"/>
  <c r="H32" i="3" s="1"/>
  <c r="I31" i="3"/>
  <c r="H14" i="3"/>
  <c r="H13" i="2"/>
  <c r="H14" i="2" s="1"/>
  <c r="H15" i="2" s="1"/>
  <c r="H16" i="2" s="1"/>
  <c r="H17" i="2" s="1"/>
  <c r="H18" i="2" s="1"/>
  <c r="G14" i="2"/>
  <c r="G15" i="2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G18" i="2"/>
  <c r="G17" i="2"/>
  <c r="G16" i="2"/>
  <c r="G13" i="2"/>
  <c r="I13" i="5" l="1"/>
  <c r="J13" i="5" s="1"/>
  <c r="I14" i="9"/>
  <c r="J14" i="9" s="1"/>
  <c r="H15" i="9"/>
  <c r="I32" i="9"/>
  <c r="J32" i="9" s="1"/>
  <c r="H33" i="9"/>
  <c r="I31" i="8"/>
  <c r="J31" i="8" s="1"/>
  <c r="I32" i="8"/>
  <c r="J32" i="8" s="1"/>
  <c r="H33" i="8"/>
  <c r="I14" i="8"/>
  <c r="J14" i="8" s="1"/>
  <c r="H15" i="8"/>
  <c r="H15" i="6"/>
  <c r="I14" i="6"/>
  <c r="J14" i="6" s="1"/>
  <c r="H34" i="6"/>
  <c r="I33" i="6"/>
  <c r="J33" i="6" s="1"/>
  <c r="H15" i="5"/>
  <c r="I14" i="5"/>
  <c r="J14" i="5" s="1"/>
  <c r="H33" i="5"/>
  <c r="I32" i="5"/>
  <c r="J32" i="5" s="1"/>
  <c r="I13" i="2"/>
  <c r="I14" i="3"/>
  <c r="J14" i="3" s="1"/>
  <c r="H15" i="3"/>
  <c r="I32" i="3"/>
  <c r="J32" i="3" s="1"/>
  <c r="H33" i="3"/>
  <c r="I31" i="2"/>
  <c r="I15" i="9" l="1"/>
  <c r="J15" i="9" s="1"/>
  <c r="H16" i="9"/>
  <c r="I33" i="9"/>
  <c r="J33" i="9" s="1"/>
  <c r="H34" i="9"/>
  <c r="I15" i="8"/>
  <c r="J15" i="8" s="1"/>
  <c r="H16" i="8"/>
  <c r="I33" i="8"/>
  <c r="J33" i="8" s="1"/>
  <c r="H34" i="8"/>
  <c r="H16" i="6"/>
  <c r="I15" i="6"/>
  <c r="J15" i="6" s="1"/>
  <c r="I34" i="6"/>
  <c r="J34" i="6" s="1"/>
  <c r="H35" i="6"/>
  <c r="I35" i="6" s="1"/>
  <c r="J35" i="6" s="1"/>
  <c r="I33" i="5"/>
  <c r="J33" i="5" s="1"/>
  <c r="H34" i="5"/>
  <c r="I15" i="5"/>
  <c r="J15" i="5" s="1"/>
  <c r="H16" i="5"/>
  <c r="I33" i="3"/>
  <c r="J33" i="3" s="1"/>
  <c r="H34" i="3"/>
  <c r="I15" i="3"/>
  <c r="J15" i="3" s="1"/>
  <c r="H16" i="3"/>
  <c r="H32" i="2"/>
  <c r="I32" i="2" s="1"/>
  <c r="J32" i="2" s="1"/>
  <c r="I14" i="2"/>
  <c r="J14" i="2" s="1"/>
  <c r="H35" i="9" l="1"/>
  <c r="I35" i="9" s="1"/>
  <c r="J35" i="9" s="1"/>
  <c r="I34" i="9"/>
  <c r="J34" i="9" s="1"/>
  <c r="H17" i="9"/>
  <c r="I17" i="9" s="1"/>
  <c r="J17" i="9" s="1"/>
  <c r="I16" i="9"/>
  <c r="J16" i="9" s="1"/>
  <c r="H35" i="8"/>
  <c r="I35" i="8" s="1"/>
  <c r="J35" i="8" s="1"/>
  <c r="I34" i="8"/>
  <c r="J34" i="8" s="1"/>
  <c r="H17" i="8"/>
  <c r="I17" i="8" s="1"/>
  <c r="J17" i="8" s="1"/>
  <c r="I16" i="8"/>
  <c r="J16" i="8" s="1"/>
  <c r="H17" i="6"/>
  <c r="I17" i="6" s="1"/>
  <c r="J17" i="6" s="1"/>
  <c r="I16" i="6"/>
  <c r="J16" i="6" s="1"/>
  <c r="H17" i="5"/>
  <c r="I17" i="5" s="1"/>
  <c r="J17" i="5" s="1"/>
  <c r="I16" i="5"/>
  <c r="J16" i="5" s="1"/>
  <c r="H35" i="5"/>
  <c r="I35" i="5" s="1"/>
  <c r="J35" i="5" s="1"/>
  <c r="I34" i="5"/>
  <c r="J34" i="5" s="1"/>
  <c r="I16" i="3"/>
  <c r="J16" i="3" s="1"/>
  <c r="H17" i="3"/>
  <c r="I34" i="3"/>
  <c r="J34" i="3" s="1"/>
  <c r="H35" i="3"/>
  <c r="H33" i="2"/>
  <c r="H34" i="2" s="1"/>
  <c r="I15" i="2"/>
  <c r="J15" i="2" s="1"/>
  <c r="H36" i="3" l="1"/>
  <c r="I36" i="3" s="1"/>
  <c r="J36" i="3" s="1"/>
  <c r="I35" i="3"/>
  <c r="J35" i="3" s="1"/>
  <c r="H18" i="3"/>
  <c r="I18" i="3" s="1"/>
  <c r="J18" i="3" s="1"/>
  <c r="I17" i="3"/>
  <c r="J17" i="3" s="1"/>
  <c r="I33" i="2"/>
  <c r="J33" i="2" s="1"/>
  <c r="H35" i="2"/>
  <c r="I34" i="2"/>
  <c r="J34" i="2" s="1"/>
  <c r="I16" i="2"/>
  <c r="J16" i="2" s="1"/>
  <c r="I18" i="2" l="1"/>
  <c r="J18" i="2" s="1"/>
  <c r="I17" i="2"/>
  <c r="J17" i="2" s="1"/>
  <c r="I35" i="2"/>
  <c r="J35" i="2" s="1"/>
  <c r="H36" i="2"/>
  <c r="I36" i="2" s="1"/>
  <c r="J36" i="2" s="1"/>
  <c r="J1" i="2"/>
</calcChain>
</file>

<file path=xl/sharedStrings.xml><?xml version="1.0" encoding="utf-8"?>
<sst xmlns="http://schemas.openxmlformats.org/spreadsheetml/2006/main" count="362" uniqueCount="37">
  <si>
    <t>NaOH</t>
  </si>
  <si>
    <t>Massa Molar ácido</t>
  </si>
  <si>
    <t>Temperatura</t>
  </si>
  <si>
    <r>
      <t>40</t>
    </r>
    <r>
      <rPr>
        <b/>
        <sz val="11"/>
        <color indexed="8"/>
        <rFont val="Calibri"/>
        <family val="2"/>
      </rPr>
      <t>°C</t>
    </r>
  </si>
  <si>
    <t>densidade ácido</t>
  </si>
  <si>
    <t>Ác. Oleico (mL)</t>
  </si>
  <si>
    <t>Massa Molar álcool</t>
  </si>
  <si>
    <t>Etanol (mL)</t>
  </si>
  <si>
    <t>densidade álcool</t>
  </si>
  <si>
    <t>Enzima (g)</t>
  </si>
  <si>
    <t>Proporção álc.:ác.</t>
  </si>
  <si>
    <t>Volume de NaOH</t>
  </si>
  <si>
    <t>0,6 mL</t>
  </si>
  <si>
    <t>Reator 1</t>
  </si>
  <si>
    <r>
      <t>em 300</t>
    </r>
    <r>
      <rPr>
        <b/>
        <sz val="11"/>
        <color indexed="8"/>
        <rFont val="Symbol"/>
        <family val="1"/>
        <charset val="2"/>
      </rPr>
      <t>m</t>
    </r>
    <r>
      <rPr>
        <b/>
        <sz val="11"/>
        <color indexed="8"/>
        <rFont val="Calibri"/>
        <family val="2"/>
      </rPr>
      <t>L de amostra</t>
    </r>
  </si>
  <si>
    <t>após retirada de amostras</t>
  </si>
  <si>
    <t>Tempo (min)</t>
  </si>
  <si>
    <r>
      <t>Alíquota (</t>
    </r>
    <r>
      <rPr>
        <b/>
        <sz val="11"/>
        <color indexed="8"/>
        <rFont val="Calibri"/>
        <family val="2"/>
      </rPr>
      <t>µL)</t>
    </r>
  </si>
  <si>
    <t>Amostra 1</t>
  </si>
  <si>
    <t>Amostra 2</t>
  </si>
  <si>
    <t>Média (mL)</t>
  </si>
  <si>
    <r>
      <t>Número de mol de ácido (C</t>
    </r>
    <r>
      <rPr>
        <b/>
        <vertAlign val="subscript"/>
        <sz val="11"/>
        <color indexed="8"/>
        <rFont val="Calibri"/>
        <family val="2"/>
      </rPr>
      <t>base</t>
    </r>
    <r>
      <rPr>
        <b/>
        <sz val="11"/>
        <color indexed="8"/>
        <rFont val="Calibri"/>
        <family val="2"/>
      </rPr>
      <t>*V</t>
    </r>
    <r>
      <rPr>
        <b/>
        <vertAlign val="subscript"/>
        <sz val="11"/>
        <color indexed="8"/>
        <rFont val="Calibri"/>
        <family val="2"/>
      </rPr>
      <t>base</t>
    </r>
    <r>
      <rPr>
        <b/>
        <sz val="11"/>
        <color indexed="8"/>
        <rFont val="Calibri"/>
        <family val="2"/>
      </rPr>
      <t>)</t>
    </r>
  </si>
  <si>
    <t>Volume de reação (mL)</t>
  </si>
  <si>
    <t>Numero de mols no volume reacional total</t>
  </si>
  <si>
    <t>Consumo de ác. (mol)</t>
  </si>
  <si>
    <t xml:space="preserve"> </t>
  </si>
  <si>
    <t>Reator 2</t>
  </si>
  <si>
    <t>Atividade de Esterificação - reator 1</t>
  </si>
  <si>
    <t>Atividade de Esterificação - reator 2 (duplicata)</t>
  </si>
  <si>
    <t>enzima: Lipura NS40019</t>
  </si>
  <si>
    <t>Atividade de esterificação média</t>
  </si>
  <si>
    <t xml:space="preserve">Resultado ==&gt; </t>
  </si>
  <si>
    <t>µmol/g*min</t>
  </si>
  <si>
    <r>
      <t>U (</t>
    </r>
    <r>
      <rPr>
        <b/>
        <sz val="11"/>
        <color indexed="8"/>
        <rFont val="Symbol"/>
        <family val="1"/>
        <charset val="2"/>
      </rPr>
      <t>m</t>
    </r>
    <r>
      <rPr>
        <b/>
        <sz val="11"/>
        <color indexed="8"/>
        <rFont val="Arial"/>
        <family val="2"/>
      </rPr>
      <t>mol</t>
    </r>
    <r>
      <rPr>
        <b/>
        <sz val="11"/>
        <color indexed="8"/>
        <rFont val="Calibri"/>
        <family val="2"/>
      </rPr>
      <t>/g*min)</t>
    </r>
  </si>
  <si>
    <t>Estabilidade ao substrato - óleo de patauá (Ponto Ótimo SLS - 50 ºC)</t>
  </si>
  <si>
    <t>Atividade inicial da Lipura (03/2025)</t>
  </si>
  <si>
    <t xml:space="preserve">Atividade de Esterificação - Lipura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</si>
</sst>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222222"/>
      <name val="Arial"/>
      <family val="2"/>
    </font>
    <font>
      <b/>
      <sz val="11"/>
      <color indexed="8"/>
      <name val="Calibri"/>
      <family val="2"/>
    </font>
    <font>
      <b/>
      <sz val="11"/>
      <color indexed="8"/>
      <name val="Symbol"/>
      <family val="1"/>
      <charset val="2"/>
    </font>
    <font>
      <b/>
      <vertAlign val="subscript"/>
      <sz val="11"/>
      <color indexed="8"/>
      <name val="Calibri"/>
      <family val="2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164" fontId="1" fillId="4" borderId="11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" fontId="0" fillId="0" borderId="27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65" fontId="0" fillId="0" borderId="30" xfId="0" applyNumberForma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1" fontId="0" fillId="0" borderId="33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0" fillId="0" borderId="41" xfId="0" applyNumberFormat="1" applyBorder="1" applyAlignment="1">
      <alignment horizontal="center" vertical="center"/>
    </xf>
    <xf numFmtId="165" fontId="0" fillId="0" borderId="4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0" borderId="48" xfId="0" applyBorder="1"/>
    <xf numFmtId="2" fontId="0" fillId="0" borderId="49" xfId="0" applyNumberFormat="1" applyBorder="1" applyAlignment="1">
      <alignment horizontal="center" vertical="center"/>
    </xf>
    <xf numFmtId="165" fontId="0" fillId="0" borderId="48" xfId="0" applyNumberForma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2" fontId="1" fillId="7" borderId="3" xfId="0" applyNumberFormat="1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2" fontId="1" fillId="2" borderId="23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0" fillId="0" borderId="50" xfId="0" applyNumberForma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2" fontId="9" fillId="10" borderId="0" xfId="0" applyNumberFormat="1" applyFont="1" applyFill="1" applyAlignment="1">
      <alignment horizontal="center" vertical="center"/>
    </xf>
    <xf numFmtId="0" fontId="9" fillId="10" borderId="0" xfId="0" applyFont="1" applyFill="1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1939060294068898"/>
                  <c:y val="-4.0583230744184427E-2"/>
                </c:manualLayout>
              </c:layout>
              <c:numFmt formatCode="#,##0.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'Estabilidade Patauá Oil 50ºC'!$A$14:$A$18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60</c:v>
                </c:pt>
              </c:numCache>
            </c:numRef>
          </c:xVal>
          <c:yVal>
            <c:numRef>
              <c:f>'Estabilidade Patauá Oil 50ºC'!$J$14:$J$18</c:f>
              <c:numCache>
                <c:formatCode>0.0000E+00</c:formatCode>
                <c:ptCount val="5"/>
                <c:pt idx="0">
                  <c:v>4.9728052792942165E-3</c:v>
                </c:pt>
                <c:pt idx="1">
                  <c:v>8.0443904128697022E-3</c:v>
                </c:pt>
                <c:pt idx="2">
                  <c:v>1.2295108161805846E-2</c:v>
                </c:pt>
                <c:pt idx="3">
                  <c:v>1.7262070995744581E-2</c:v>
                </c:pt>
                <c:pt idx="4">
                  <c:v>2.4666186590762664E-2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ED-4595-8A04-E0E6D6E72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066927"/>
        <c:axId val="26695743"/>
      </c:scatterChart>
      <c:valAx>
        <c:axId val="18230669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aseline="0"/>
                  <a:t>time (min)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95743"/>
        <c:crosses val="autoZero"/>
        <c:crossBetween val="midCat"/>
      </c:valAx>
      <c:valAx>
        <c:axId val="266957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conume</a:t>
                </a:r>
                <a:r>
                  <a:rPr lang="en-US" baseline="0"/>
                  <a:t> of acid </a:t>
                </a:r>
                <a:r>
                  <a:rPr lang="en-US"/>
                  <a:t>(mol)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0669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'após reuso MLM'!$A$21:$K$21</c:f>
              <c:strCache>
                <c:ptCount val="1"/>
                <c:pt idx="0">
                  <c:v>Atividade de Esterificação - reator 2 (duplicata)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5929168818386461"/>
                  <c:y val="9.05868494286074E-3"/>
                </c:manualLayout>
              </c:layout>
              <c:numFmt formatCode="#,##0.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'após reuso MLM'!$A$31:$A$34</c:f>
              <c:numCache>
                <c:formatCode>General</c:formatCode>
                <c:ptCount val="4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</c:numCache>
            </c:numRef>
          </c:xVal>
          <c:yVal>
            <c:numRef>
              <c:f>'após reuso MLM'!$J$31:$J$34</c:f>
              <c:numCache>
                <c:formatCode>0.0000E+00</c:formatCode>
                <c:ptCount val="4"/>
                <c:pt idx="0">
                  <c:v>6.8826028810955175E-3</c:v>
                </c:pt>
                <c:pt idx="1">
                  <c:v>1.3269559965588304E-2</c:v>
                </c:pt>
                <c:pt idx="2">
                  <c:v>1.8753933863670171E-2</c:v>
                </c:pt>
                <c:pt idx="3">
                  <c:v>2.1700152117807014E-2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3AE-4810-A72B-354540812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130559"/>
        <c:axId val="613129599"/>
      </c:scatterChart>
      <c:valAx>
        <c:axId val="613130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129599"/>
        <c:crosses val="autoZero"/>
        <c:crossBetween val="midCat"/>
      </c:valAx>
      <c:valAx>
        <c:axId val="613129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1305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'Estabilidade C4  50 ºC (2)'!$A$3:$K$3</c:f>
              <c:strCache>
                <c:ptCount val="1"/>
                <c:pt idx="0">
                  <c:v>Atividade de Esterificação - reator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9571907832175512"/>
                  <c:y val="5.2628187365884149E-2"/>
                </c:manualLayout>
              </c:layout>
              <c:numFmt formatCode="#,##0.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('Estabilidade C4  50 ºC (2)'!$A$12,'Estabilidade C4  50 ºC (2)'!$A$17)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xVal>
          <c:yVal>
            <c:numRef>
              <c:f>('Estabilidade C4  50 ºC (2)'!$J$12,'Estabilidade C4  50 ºC (2)'!$J$17)</c:f>
              <c:numCache>
                <c:formatCode>0.0000E+00</c:formatCode>
                <c:ptCount val="2"/>
                <c:pt idx="0">
                  <c:v>0</c:v>
                </c:pt>
                <c:pt idx="1">
                  <c:v>7.9868574533919698E-3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7C9-4044-9AEB-BF2F047BF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9751359"/>
        <c:axId val="1042271840"/>
      </c:scatterChart>
      <c:valAx>
        <c:axId val="719751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271840"/>
        <c:crosses val="autoZero"/>
        <c:crossBetween val="midCat"/>
      </c:valAx>
      <c:valAx>
        <c:axId val="104227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7513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'Estabilidade C4  50 ºC (2)'!$A$21:$K$21</c:f>
              <c:strCache>
                <c:ptCount val="1"/>
                <c:pt idx="0">
                  <c:v>Atividade de Esterificação - reator 2 (duplicata)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0550731657446243"/>
                  <c:y val="-2.2563393363803981E-2"/>
                </c:manualLayout>
              </c:layout>
              <c:numFmt formatCode="#,##0.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('Estabilidade C4  50 ºC (2)'!$A$30,'Estabilidade C4  50 ºC (2)'!$A$35)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xVal>
          <c:yVal>
            <c:numRef>
              <c:f>('Estabilidade C4  50 ºC (2)'!$J$30,'Estabilidade C4  50 ºC (2)'!$J$35)</c:f>
              <c:numCache>
                <c:formatCode>0.0000E+00</c:formatCode>
                <c:ptCount val="2"/>
                <c:pt idx="0">
                  <c:v>0</c:v>
                </c:pt>
                <c:pt idx="1">
                  <c:v>9.2076363074207121E-3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3E-481A-8190-C55E60A72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130559"/>
        <c:axId val="613129599"/>
      </c:scatterChart>
      <c:valAx>
        <c:axId val="613130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129599"/>
        <c:crosses val="autoZero"/>
        <c:crossBetween val="midCat"/>
      </c:valAx>
      <c:valAx>
        <c:axId val="613129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1305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3333074288213162"/>
                  <c:y val="-2.3231183198915633E-2"/>
                </c:manualLayout>
              </c:layout>
              <c:numFmt formatCode="#,##0.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'Estabilidade Patauá Oil 50ºC'!$A$32:$A$36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60</c:v>
                </c:pt>
              </c:numCache>
            </c:numRef>
          </c:xVal>
          <c:yVal>
            <c:numRef>
              <c:f>'Estabilidade Patauá Oil 50ºC'!$J$32:$J$36</c:f>
              <c:numCache>
                <c:formatCode>0.0000E+00</c:formatCode>
                <c:ptCount val="5"/>
                <c:pt idx="0">
                  <c:v>4.8778046519531854E-3</c:v>
                </c:pt>
                <c:pt idx="1">
                  <c:v>9.4743501072710734E-3</c:v>
                </c:pt>
                <c:pt idx="2">
                  <c:v>1.4608746725577264E-2</c:v>
                </c:pt>
                <c:pt idx="3">
                  <c:v>1.9549202540518736E-2</c:v>
                </c:pt>
                <c:pt idx="4">
                  <c:v>2.6865744614142803E-2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01-43C8-96ED-8FCE19000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2794047"/>
        <c:axId val="26690783"/>
      </c:scatterChart>
      <c:valAx>
        <c:axId val="18227940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Tempo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90783"/>
        <c:crosses val="autoZero"/>
        <c:crossBetween val="midCat"/>
      </c:valAx>
      <c:valAx>
        <c:axId val="2669078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 de ácido (mol)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7940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'Estabilidade Patauá Oil 66.8 ºC'!$B$1:$G$1</c:f>
              <c:strCache>
                <c:ptCount val="1"/>
                <c:pt idx="0">
                  <c:v>Atividade de Esterificação - Lipura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5513775342826001"/>
                  <c:y val="8.4947990763550637E-3"/>
                </c:manualLayout>
              </c:layout>
              <c:numFmt formatCode="#,##0.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'Estabilidade Patauá Oil 66.8 ºC'!$A$14:$A$18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60</c:v>
                </c:pt>
              </c:numCache>
            </c:numRef>
          </c:xVal>
          <c:yVal>
            <c:numRef>
              <c:f>'Estabilidade Patauá Oil 66.8 ºC'!$J$14:$J$18</c:f>
              <c:numCache>
                <c:formatCode>0.0000E+00</c:formatCode>
                <c:ptCount val="5"/>
                <c:pt idx="0">
                  <c:v>3.0161610524601576E-3</c:v>
                </c:pt>
                <c:pt idx="1">
                  <c:v>6.2160343154123512E-3</c:v>
                </c:pt>
                <c:pt idx="2">
                  <c:v>8.8955392626264909E-3</c:v>
                </c:pt>
                <c:pt idx="3">
                  <c:v>1.2270180841316723E-2</c:v>
                </c:pt>
                <c:pt idx="4">
                  <c:v>2.0644522735093589E-2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3B-4438-998E-7657BB6EC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9751359"/>
        <c:axId val="1042271840"/>
      </c:scatterChart>
      <c:valAx>
        <c:axId val="719751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271840"/>
        <c:crosses val="autoZero"/>
        <c:crossBetween val="midCat"/>
      </c:valAx>
      <c:valAx>
        <c:axId val="104227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7513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'Estabilidade Patauá Oil 66.8 ºC'!$B$21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8099365704286966"/>
                  <c:y val="-3.7131816856226303E-2"/>
                </c:manualLayout>
              </c:layout>
              <c:numFmt formatCode="#,##0.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'Estabilidade Patauá Oil 66.8 ºC'!$A$32:$A$36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60</c:v>
                </c:pt>
              </c:numCache>
            </c:numRef>
          </c:xVal>
          <c:yVal>
            <c:numRef>
              <c:f>'Estabilidade Patauá Oil 66.8 ºC'!$J$32:$J$36</c:f>
              <c:numCache>
                <c:formatCode>0.0000E+00</c:formatCode>
                <c:ptCount val="5"/>
                <c:pt idx="0">
                  <c:v>3.1907515602098632E-3</c:v>
                </c:pt>
                <c:pt idx="1">
                  <c:v>6.695780818658785E-3</c:v>
                </c:pt>
                <c:pt idx="2">
                  <c:v>1.0201569309854074E-2</c:v>
                </c:pt>
                <c:pt idx="3">
                  <c:v>1.4084794732034757E-2</c:v>
                </c:pt>
                <c:pt idx="4">
                  <c:v>2.1552397136605988E-2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BF-4A41-86A7-11AD6F9C9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130559"/>
        <c:axId val="613129599"/>
      </c:scatterChart>
      <c:valAx>
        <c:axId val="613130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129599"/>
        <c:crosses val="autoZero"/>
        <c:crossBetween val="midCat"/>
      </c:valAx>
      <c:valAx>
        <c:axId val="613129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1305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'Estabilidade C10 66.8 ºC (3)'!$A$3:$K$3</c:f>
              <c:strCache>
                <c:ptCount val="1"/>
                <c:pt idx="0">
                  <c:v>Atividade de Esterificação - reator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992213376132824"/>
                  <c:y val="-4.2504973580884772E-2"/>
                </c:manualLayout>
              </c:layout>
              <c:numFmt formatCode="#,##0.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'Estabilidade C10 66.8 ºC (3)'!$A$13:$A$16</c:f>
              <c:numCache>
                <c:formatCode>General</c:formatCode>
                <c:ptCount val="4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</c:numCache>
            </c:numRef>
          </c:xVal>
          <c:yVal>
            <c:numRef>
              <c:f>'Estabilidade C10 66.8 ºC (3)'!$J$13:$J$16</c:f>
              <c:numCache>
                <c:formatCode>0.0000E+00</c:formatCode>
                <c:ptCount val="4"/>
                <c:pt idx="0">
                  <c:v>7.6078102305206854E-3</c:v>
                </c:pt>
                <c:pt idx="1">
                  <c:v>1.3504363159174214E-2</c:v>
                </c:pt>
                <c:pt idx="2">
                  <c:v>1.9513001855116799E-2</c:v>
                </c:pt>
                <c:pt idx="3">
                  <c:v>2.1924954412746975E-2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461-4020-BF35-43F41A302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9751359"/>
        <c:axId val="1042271840"/>
      </c:scatterChart>
      <c:valAx>
        <c:axId val="719751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271840"/>
        <c:crosses val="autoZero"/>
        <c:crossBetween val="midCat"/>
      </c:valAx>
      <c:valAx>
        <c:axId val="104227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7513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'Estabilidade C10 66.8 ºC (3)'!$A$21:$K$21</c:f>
              <c:strCache>
                <c:ptCount val="1"/>
                <c:pt idx="0">
                  <c:v>Atividade de Esterificação - reator 2 (duplicata)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5929168818386461"/>
                  <c:y val="9.05868494286074E-3"/>
                </c:manualLayout>
              </c:layout>
              <c:numFmt formatCode="#,##0.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'Estabilidade C10 66.8 ºC (3)'!$A$31:$A$34</c:f>
              <c:numCache>
                <c:formatCode>General</c:formatCode>
                <c:ptCount val="4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</c:numCache>
            </c:numRef>
          </c:xVal>
          <c:yVal>
            <c:numRef>
              <c:f>'Estabilidade C10 66.8 ºC (3)'!$J$31:$J$34</c:f>
              <c:numCache>
                <c:formatCode>0.0000E+00</c:formatCode>
                <c:ptCount val="4"/>
                <c:pt idx="0">
                  <c:v>8.0978361219090286E-3</c:v>
                </c:pt>
                <c:pt idx="1">
                  <c:v>1.4891090459365632E-2</c:v>
                </c:pt>
                <c:pt idx="2">
                  <c:v>1.976594485865946E-2</c:v>
                </c:pt>
                <c:pt idx="3">
                  <c:v>2.275163568904846E-2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0F-4F06-8565-D548A5DDB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130559"/>
        <c:axId val="613129599"/>
      </c:scatterChart>
      <c:valAx>
        <c:axId val="613130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129599"/>
        <c:crosses val="autoZero"/>
        <c:crossBetween val="midCat"/>
      </c:valAx>
      <c:valAx>
        <c:axId val="613129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1305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'Estabilidade C10 66.8 ºC (rept)'!$A$3:$K$3</c:f>
              <c:strCache>
                <c:ptCount val="1"/>
                <c:pt idx="0">
                  <c:v>Atividade de Esterificação - reator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993767685807554"/>
                  <c:y val="-4.5212108870758159E-3"/>
                </c:manualLayout>
              </c:layout>
              <c:numFmt formatCode="#,##0.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'Estabilidade C10 66.8 ºC (rept)'!$A$12:$A$16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</c:numCache>
            </c:numRef>
          </c:xVal>
          <c:yVal>
            <c:numRef>
              <c:f>'Estabilidade C10 66.8 ºC (rept)'!$J$12:$J$16</c:f>
              <c:numCache>
                <c:formatCode>0.0000E+00</c:formatCode>
                <c:ptCount val="5"/>
                <c:pt idx="0">
                  <c:v>0</c:v>
                </c:pt>
                <c:pt idx="1">
                  <c:v>5.9531996006542479E-3</c:v>
                </c:pt>
                <c:pt idx="2">
                  <c:v>1.3157079054881726E-2</c:v>
                </c:pt>
                <c:pt idx="3">
                  <c:v>1.8211318682159021E-2</c:v>
                </c:pt>
                <c:pt idx="4">
                  <c:v>2.1433398469174622E-2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937-49C4-B475-1322BC636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9751359"/>
        <c:axId val="1042271840"/>
      </c:scatterChart>
      <c:valAx>
        <c:axId val="719751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271840"/>
        <c:crosses val="autoZero"/>
        <c:crossBetween val="midCat"/>
      </c:valAx>
      <c:valAx>
        <c:axId val="104227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7513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'Estabilidade C10 66.8 ºC (rept)'!$A$21:$K$21</c:f>
              <c:strCache>
                <c:ptCount val="1"/>
                <c:pt idx="0">
                  <c:v>Atividade de Esterificação - reator 2 (duplicata)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5929168818386461"/>
                  <c:y val="9.05868494286074E-3"/>
                </c:manualLayout>
              </c:layout>
              <c:numFmt formatCode="#,##0.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'Estabilidade C10 66.8 ºC (rept)'!$A$30:$A$34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</c:numCache>
            </c:numRef>
          </c:xVal>
          <c:yVal>
            <c:numRef>
              <c:f>'Estabilidade C10 66.8 ºC (rept)'!$J$30:$J$34</c:f>
              <c:numCache>
                <c:formatCode>0.0000E+00</c:formatCode>
                <c:ptCount val="5"/>
                <c:pt idx="0">
                  <c:v>0</c:v>
                </c:pt>
                <c:pt idx="1">
                  <c:v>7.5629137965460835E-3</c:v>
                </c:pt>
                <c:pt idx="2">
                  <c:v>1.3192519013531023E-2</c:v>
                </c:pt>
                <c:pt idx="3">
                  <c:v>1.8534124230515973E-2</c:v>
                </c:pt>
                <c:pt idx="4">
                  <c:v>2.2283994375172599E-2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C88-4F34-ADD7-F62AC09B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130559"/>
        <c:axId val="613129599"/>
      </c:scatterChart>
      <c:valAx>
        <c:axId val="613130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129599"/>
        <c:crosses val="autoZero"/>
        <c:crossBetween val="midCat"/>
      </c:valAx>
      <c:valAx>
        <c:axId val="613129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1305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'após reuso MLM'!$A$3:$K$3</c:f>
              <c:strCache>
                <c:ptCount val="1"/>
                <c:pt idx="0">
                  <c:v>Atividade de Esterificação - reator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032277490223117"/>
                  <c:y val="0"/>
                </c:manualLayout>
              </c:layout>
              <c:numFmt formatCode="#,##0.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'após reuso MLM'!$A$13:$A$16</c:f>
              <c:numCache>
                <c:formatCode>General</c:formatCode>
                <c:ptCount val="4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</c:numCache>
            </c:numRef>
          </c:xVal>
          <c:yVal>
            <c:numRef>
              <c:f>'após reuso MLM'!$J$13:$J$16</c:f>
              <c:numCache>
                <c:formatCode>0.0000E+00</c:formatCode>
                <c:ptCount val="4"/>
                <c:pt idx="0">
                  <c:v>7.4275158693912768E-3</c:v>
                </c:pt>
                <c:pt idx="1">
                  <c:v>1.2284311270188558E-2</c:v>
                </c:pt>
                <c:pt idx="2">
                  <c:v>1.894646979062671E-2</c:v>
                </c:pt>
                <c:pt idx="3">
                  <c:v>2.1971475561314454E-2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6A0-4913-BBD1-423FE97C2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9751359"/>
        <c:axId val="1042271840"/>
      </c:scatterChart>
      <c:valAx>
        <c:axId val="719751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271840"/>
        <c:crosses val="autoZero"/>
        <c:crossBetween val="midCat"/>
      </c:valAx>
      <c:valAx>
        <c:axId val="104227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7513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398860</xdr:colOff>
      <xdr:row>5</xdr:row>
      <xdr:rowOff>146445</xdr:rowOff>
    </xdr:from>
    <xdr:to>
      <xdr:col>19</xdr:col>
      <xdr:colOff>113110</xdr:colOff>
      <xdr:row>19</xdr:row>
      <xdr:rowOff>55957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F1260C-1CD0-CEC5-B2B1-EEACAE6B5B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547688</xdr:colOff>
      <xdr:row>22</xdr:row>
      <xdr:rowOff>51196</xdr:rowOff>
    </xdr:from>
    <xdr:to>
      <xdr:col>19</xdr:col>
      <xdr:colOff>261938</xdr:colOff>
      <xdr:row>35</xdr:row>
      <xdr:rowOff>151208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07A73A-C521-0503-99EB-2C489581A2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28222</xdr:colOff>
      <xdr:row>3</xdr:row>
      <xdr:rowOff>134863</xdr:rowOff>
    </xdr:from>
    <xdr:to>
      <xdr:col>19</xdr:col>
      <xdr:colOff>278694</xdr:colOff>
      <xdr:row>17</xdr:row>
      <xdr:rowOff>108757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12AAAF-E4C5-5D28-B063-75E4CE65BB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233293</xdr:colOff>
      <xdr:row>21</xdr:row>
      <xdr:rowOff>126172</xdr:rowOff>
    </xdr:from>
    <xdr:to>
      <xdr:col>19</xdr:col>
      <xdr:colOff>553554</xdr:colOff>
      <xdr:row>35</xdr:row>
      <xdr:rowOff>122306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66EE79-9DB3-E514-D25B-9745E0BD17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28222</xdr:colOff>
      <xdr:row>2</xdr:row>
      <xdr:rowOff>134863</xdr:rowOff>
    </xdr:from>
    <xdr:to>
      <xdr:col>19</xdr:col>
      <xdr:colOff>278694</xdr:colOff>
      <xdr:row>16</xdr:row>
      <xdr:rowOff>108757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7B60BF-7F66-42EF-A52A-E138E668E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26228</xdr:colOff>
      <xdr:row>18</xdr:row>
      <xdr:rowOff>175867</xdr:rowOff>
    </xdr:from>
    <xdr:to>
      <xdr:col>19</xdr:col>
      <xdr:colOff>346489</xdr:colOff>
      <xdr:row>32</xdr:row>
      <xdr:rowOff>180285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4519146-B1ED-4DB0-A927-544A32E34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28222</xdr:colOff>
      <xdr:row>2</xdr:row>
      <xdr:rowOff>134863</xdr:rowOff>
    </xdr:from>
    <xdr:to>
      <xdr:col>19</xdr:col>
      <xdr:colOff>278694</xdr:colOff>
      <xdr:row>16</xdr:row>
      <xdr:rowOff>108757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1C8309-E0E5-4BDE-A23F-B7ED889F8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26228</xdr:colOff>
      <xdr:row>18</xdr:row>
      <xdr:rowOff>175867</xdr:rowOff>
    </xdr:from>
    <xdr:to>
      <xdr:col>19</xdr:col>
      <xdr:colOff>346489</xdr:colOff>
      <xdr:row>32</xdr:row>
      <xdr:rowOff>180285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5BAA599-BADC-4F99-A3C8-476715DF6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28222</xdr:colOff>
      <xdr:row>2</xdr:row>
      <xdr:rowOff>134863</xdr:rowOff>
    </xdr:from>
    <xdr:to>
      <xdr:col>19</xdr:col>
      <xdr:colOff>278694</xdr:colOff>
      <xdr:row>16</xdr:row>
      <xdr:rowOff>108757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6F06C3-89A3-4E59-BE13-A1577ACB3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26228</xdr:colOff>
      <xdr:row>18</xdr:row>
      <xdr:rowOff>175867</xdr:rowOff>
    </xdr:from>
    <xdr:to>
      <xdr:col>19</xdr:col>
      <xdr:colOff>346489</xdr:colOff>
      <xdr:row>32</xdr:row>
      <xdr:rowOff>180285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A7A7774-424A-48C2-A072-5D48DCBE2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28222</xdr:colOff>
      <xdr:row>2</xdr:row>
      <xdr:rowOff>134863</xdr:rowOff>
    </xdr:from>
    <xdr:to>
      <xdr:col>19</xdr:col>
      <xdr:colOff>278694</xdr:colOff>
      <xdr:row>16</xdr:row>
      <xdr:rowOff>108757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202E7C-63B4-4808-B620-E93ACD8D3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26228</xdr:colOff>
      <xdr:row>18</xdr:row>
      <xdr:rowOff>175867</xdr:rowOff>
    </xdr:from>
    <xdr:to>
      <xdr:col>19</xdr:col>
      <xdr:colOff>346489</xdr:colOff>
      <xdr:row>32</xdr:row>
      <xdr:rowOff>180285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AD35481-85EB-4ABC-BEEB-111B524F6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EF61E-46E6-4928-AEA4-320F6E73EDE4}">
  <dimension ref="A1:K36"/>
  <sheetViews>
    <sheetView zoomScale="61" zoomScaleNormal="130" workbookViewId="0">
      <selection activeCell="H26" sqref="H26"/>
    </sheetView>
  </sheetViews>
  <sheetFormatPr defaultRowHeight="15" x14ac:dyDescent="0.25"/>
  <cols>
    <col min="1" max="1" width="20.140625" bestFit="1" customWidth="1"/>
    <col min="2" max="2" width="17.42578125" bestFit="1" customWidth="1"/>
    <col min="3" max="3" width="13.7109375" bestFit="1" customWidth="1"/>
    <col min="4" max="4" width="14.140625" bestFit="1" customWidth="1"/>
    <col min="5" max="5" width="9.140625" customWidth="1"/>
    <col min="6" max="6" width="14.85546875" bestFit="1" customWidth="1"/>
    <col min="7" max="7" width="46.85546875" bestFit="1" customWidth="1"/>
    <col min="8" max="8" width="33.28515625" bestFit="1" customWidth="1"/>
    <col min="9" max="9" width="57.7109375" bestFit="1" customWidth="1"/>
    <col min="10" max="10" width="28.28515625" bestFit="1" customWidth="1"/>
    <col min="11" max="11" width="23.42578125" bestFit="1" customWidth="1"/>
  </cols>
  <sheetData>
    <row r="1" spans="1:11" ht="18" x14ac:dyDescent="0.25">
      <c r="B1" s="86" t="s">
        <v>34</v>
      </c>
      <c r="C1" s="86"/>
      <c r="D1" s="86"/>
      <c r="E1" s="86"/>
      <c r="F1" s="86"/>
      <c r="G1" s="86"/>
      <c r="H1" s="69" t="s">
        <v>31</v>
      </c>
      <c r="I1" s="69" t="s">
        <v>30</v>
      </c>
      <c r="J1" s="70">
        <f>AVERAGE(K31,K13)</f>
        <v>2060.4431719099803</v>
      </c>
      <c r="K1" s="71" t="s">
        <v>32</v>
      </c>
    </row>
    <row r="2" spans="1:11" x14ac:dyDescent="0.25">
      <c r="B2" s="96" t="s">
        <v>35</v>
      </c>
      <c r="C2" s="96"/>
      <c r="D2" s="96"/>
      <c r="E2" s="73">
        <v>2096.9536586307149</v>
      </c>
    </row>
    <row r="3" spans="1:11" ht="15.75" thickBot="1" x14ac:dyDescent="0.3"/>
    <row r="4" spans="1:11" ht="15.75" thickBot="1" x14ac:dyDescent="0.3">
      <c r="A4" s="87" t="s">
        <v>27</v>
      </c>
      <c r="B4" s="88"/>
      <c r="C4" s="88"/>
      <c r="D4" s="88"/>
      <c r="E4" s="88"/>
      <c r="F4" s="88"/>
      <c r="G4" s="88"/>
      <c r="H4" s="88"/>
      <c r="I4" s="88"/>
      <c r="J4" s="88"/>
      <c r="K4" s="89"/>
    </row>
    <row r="5" spans="1:11" ht="15.75" thickBot="1" x14ac:dyDescent="0.3">
      <c r="A5" s="1" t="s">
        <v>0</v>
      </c>
      <c r="B5" s="2">
        <v>4.8000000000000001E-2</v>
      </c>
      <c r="C5" s="3"/>
      <c r="E5" s="74" t="s">
        <v>29</v>
      </c>
      <c r="F5" s="75"/>
      <c r="G5" s="76"/>
      <c r="J5" s="4" t="s">
        <v>1</v>
      </c>
      <c r="K5" s="5">
        <v>282.45999999999998</v>
      </c>
    </row>
    <row r="6" spans="1:11" x14ac:dyDescent="0.25">
      <c r="A6" s="6" t="s">
        <v>2</v>
      </c>
      <c r="B6" s="7" t="s">
        <v>3</v>
      </c>
      <c r="C6" s="3"/>
      <c r="D6" s="8"/>
      <c r="E6" s="18"/>
      <c r="F6" s="18"/>
      <c r="J6" s="9" t="s">
        <v>4</v>
      </c>
      <c r="K6" s="10">
        <v>0.89500000000000002</v>
      </c>
    </row>
    <row r="7" spans="1:11" x14ac:dyDescent="0.25">
      <c r="A7" s="4" t="s">
        <v>5</v>
      </c>
      <c r="B7" s="11">
        <f>14.111/K6</f>
        <v>15.766480446927375</v>
      </c>
      <c r="C7" s="3"/>
      <c r="D7" s="8"/>
      <c r="E7" s="55"/>
      <c r="F7" s="55"/>
      <c r="G7" s="3"/>
      <c r="H7" s="3"/>
      <c r="I7" s="3"/>
      <c r="J7" s="12" t="s">
        <v>6</v>
      </c>
      <c r="K7" s="13">
        <v>46.06</v>
      </c>
    </row>
    <row r="8" spans="1:11" ht="15.75" thickBot="1" x14ac:dyDescent="0.3">
      <c r="A8" s="6" t="s">
        <v>7</v>
      </c>
      <c r="B8" s="7">
        <f>2.318/K8</f>
        <v>2.9378960709759188</v>
      </c>
      <c r="C8" s="3"/>
      <c r="D8" s="8"/>
      <c r="E8" s="3"/>
      <c r="F8" s="3"/>
      <c r="G8" s="3"/>
      <c r="H8" s="3"/>
      <c r="I8" s="3"/>
      <c r="J8" s="4" t="s">
        <v>8</v>
      </c>
      <c r="K8" s="14">
        <v>0.78900000000000003</v>
      </c>
    </row>
    <row r="9" spans="1:11" ht="15.75" thickBot="1" x14ac:dyDescent="0.3">
      <c r="A9" s="15" t="s">
        <v>9</v>
      </c>
      <c r="B9" s="16">
        <v>0.20499999999999999</v>
      </c>
      <c r="C9" s="3"/>
      <c r="D9" s="3"/>
      <c r="E9" s="3"/>
      <c r="F9" s="3"/>
      <c r="G9" s="3"/>
      <c r="H9" s="3"/>
      <c r="I9" s="3"/>
      <c r="J9" s="56" t="s">
        <v>10</v>
      </c>
      <c r="K9" s="57">
        <v>1</v>
      </c>
    </row>
    <row r="10" spans="1:11" ht="15.75" thickBot="1" x14ac:dyDescent="0.3">
      <c r="A10" s="3"/>
      <c r="B10" s="3"/>
      <c r="C10" s="90" t="s">
        <v>11</v>
      </c>
      <c r="D10" s="91"/>
      <c r="E10" s="91"/>
      <c r="F10" s="92"/>
      <c r="G10" s="3"/>
      <c r="H10" s="58" t="s">
        <v>12</v>
      </c>
      <c r="I10" s="3"/>
      <c r="J10" s="3"/>
      <c r="K10" s="3"/>
    </row>
    <row r="11" spans="1:11" ht="15.75" thickBot="1" x14ac:dyDescent="0.3">
      <c r="A11" s="18"/>
      <c r="B11" s="18"/>
      <c r="C11" s="93" t="s">
        <v>13</v>
      </c>
      <c r="D11" s="94"/>
      <c r="E11" s="94"/>
      <c r="F11" s="95"/>
      <c r="G11" s="56" t="s">
        <v>14</v>
      </c>
      <c r="H11" s="59" t="s">
        <v>15</v>
      </c>
      <c r="I11" s="60"/>
      <c r="J11" s="3"/>
      <c r="K11" s="3"/>
    </row>
    <row r="12" spans="1:11" ht="18.75" thickBot="1" x14ac:dyDescent="0.3">
      <c r="A12" s="61" t="s">
        <v>16</v>
      </c>
      <c r="B12" s="62" t="s">
        <v>17</v>
      </c>
      <c r="C12" s="61" t="s">
        <v>18</v>
      </c>
      <c r="D12" s="63" t="s">
        <v>19</v>
      </c>
      <c r="E12" s="64"/>
      <c r="F12" s="65" t="s">
        <v>20</v>
      </c>
      <c r="G12" s="66" t="s">
        <v>21</v>
      </c>
      <c r="H12" s="65" t="s">
        <v>22</v>
      </c>
      <c r="I12" s="65" t="s">
        <v>23</v>
      </c>
      <c r="J12" s="66" t="s">
        <v>24</v>
      </c>
      <c r="K12" s="65" t="s">
        <v>33</v>
      </c>
    </row>
    <row r="13" spans="1:11" ht="15.75" thickBot="1" x14ac:dyDescent="0.3">
      <c r="A13" s="19">
        <v>0</v>
      </c>
      <c r="B13" s="20">
        <v>300</v>
      </c>
      <c r="C13" s="21">
        <v>17.399999999999999</v>
      </c>
      <c r="D13" s="22">
        <v>16.8</v>
      </c>
      <c r="E13" s="23"/>
      <c r="F13" s="24">
        <f>AVERAGE(C13:D13)</f>
        <v>17.100000000000001</v>
      </c>
      <c r="G13" s="25">
        <f>B5*F13*10^-3</f>
        <v>8.2080000000000011E-4</v>
      </c>
      <c r="H13" s="26">
        <f>B7+B8</f>
        <v>18.704376517903292</v>
      </c>
      <c r="I13" s="27">
        <f>(H13*G13)/(0.3)</f>
        <v>5.1175174152983414E-2</v>
      </c>
      <c r="J13" s="27"/>
      <c r="K13" s="83">
        <f>(0.000404206/B9)*1000000</f>
        <v>1971.7365853658539</v>
      </c>
    </row>
    <row r="14" spans="1:11" ht="15.75" thickBot="1" x14ac:dyDescent="0.3">
      <c r="A14" s="28">
        <v>10</v>
      </c>
      <c r="B14" s="29">
        <v>300</v>
      </c>
      <c r="C14" s="30">
        <v>15.7</v>
      </c>
      <c r="D14" s="31">
        <v>16.2</v>
      </c>
      <c r="E14" s="32"/>
      <c r="F14" s="24">
        <f t="shared" ref="F14:F18" si="0">AVERAGE(C14:D14)</f>
        <v>15.95</v>
      </c>
      <c r="G14" s="33">
        <f>B5*F14*10^-3</f>
        <v>7.6559999999999996E-4</v>
      </c>
      <c r="H14" s="34">
        <f>H13-0.6</f>
        <v>18.10437651790329</v>
      </c>
      <c r="I14" s="27">
        <f>(H14*G14)/(0.3)</f>
        <v>4.6202368873689198E-2</v>
      </c>
      <c r="J14" s="27">
        <f>(I13-I14)</f>
        <v>4.9728052792942165E-3</v>
      </c>
      <c r="K14" s="84"/>
    </row>
    <row r="15" spans="1:11" ht="15.75" thickBot="1" x14ac:dyDescent="0.3">
      <c r="A15" s="28">
        <v>20</v>
      </c>
      <c r="B15" s="29">
        <v>300</v>
      </c>
      <c r="C15" s="30">
        <v>15.3</v>
      </c>
      <c r="D15" s="31">
        <v>15.5</v>
      </c>
      <c r="E15" s="32"/>
      <c r="F15" s="24">
        <f t="shared" si="0"/>
        <v>15.4</v>
      </c>
      <c r="G15" s="33">
        <f>B5*F15*10^-3</f>
        <v>7.3920000000000008E-4</v>
      </c>
      <c r="H15" s="34">
        <f>H14-0.6</f>
        <v>17.504376517903289</v>
      </c>
      <c r="I15" s="26">
        <f t="shared" ref="I15:I18" si="1">(H15*G15)/(0.3)</f>
        <v>4.3130783740113712E-2</v>
      </c>
      <c r="J15" s="27">
        <f>(I13-I15)</f>
        <v>8.0443904128697022E-3</v>
      </c>
      <c r="K15" s="84"/>
    </row>
    <row r="16" spans="1:11" ht="15.75" thickBot="1" x14ac:dyDescent="0.3">
      <c r="A16" s="35">
        <v>30</v>
      </c>
      <c r="B16" s="36">
        <v>300</v>
      </c>
      <c r="C16" s="37">
        <v>14.15</v>
      </c>
      <c r="D16" s="38">
        <v>14.6</v>
      </c>
      <c r="E16" s="39"/>
      <c r="F16" s="24">
        <f t="shared" si="0"/>
        <v>14.375</v>
      </c>
      <c r="G16" s="40">
        <f>B5*F16*10^-3</f>
        <v>6.9000000000000008E-4</v>
      </c>
      <c r="H16" s="41">
        <f>H15-0.6</f>
        <v>16.904376517903287</v>
      </c>
      <c r="I16" s="26">
        <f t="shared" si="1"/>
        <v>3.8880065991177569E-2</v>
      </c>
      <c r="J16" s="27">
        <f>(I13-I16)</f>
        <v>1.2295108161805846E-2</v>
      </c>
      <c r="K16" s="84"/>
    </row>
    <row r="17" spans="1:11" ht="15.75" thickBot="1" x14ac:dyDescent="0.3">
      <c r="A17" s="42">
        <v>40</v>
      </c>
      <c r="B17" s="43">
        <v>300</v>
      </c>
      <c r="C17" s="44"/>
      <c r="D17" s="45">
        <v>13</v>
      </c>
      <c r="F17" s="46">
        <f t="shared" si="0"/>
        <v>13</v>
      </c>
      <c r="G17" s="47">
        <f>B5*F17*10^-3</f>
        <v>6.2399999999999999E-4</v>
      </c>
      <c r="H17" s="41">
        <f>H16-0.6</f>
        <v>16.304376517903286</v>
      </c>
      <c r="I17" s="26">
        <f t="shared" si="1"/>
        <v>3.3913103157238833E-2</v>
      </c>
      <c r="J17" s="27">
        <f>(I13-I17)</f>
        <v>1.7262070995744581E-2</v>
      </c>
      <c r="K17" s="84"/>
    </row>
    <row r="18" spans="1:11" ht="15.75" thickBot="1" x14ac:dyDescent="0.3">
      <c r="A18" s="48">
        <v>60</v>
      </c>
      <c r="B18" s="49">
        <v>300</v>
      </c>
      <c r="C18" s="50">
        <v>10.5</v>
      </c>
      <c r="D18" s="51">
        <v>10.6</v>
      </c>
      <c r="E18" s="52"/>
      <c r="F18" s="53">
        <f t="shared" si="0"/>
        <v>10.55</v>
      </c>
      <c r="G18" s="54">
        <f>B5*F18*10^-3</f>
        <v>5.0640000000000006E-4</v>
      </c>
      <c r="H18" s="41">
        <f>H17-0.6</f>
        <v>15.704376517903286</v>
      </c>
      <c r="I18" s="26">
        <f t="shared" si="1"/>
        <v>2.650898756222075E-2</v>
      </c>
      <c r="J18" s="27">
        <f>(I13-I18)</f>
        <v>2.4666186590762664E-2</v>
      </c>
      <c r="K18" s="85"/>
    </row>
    <row r="19" spans="1:11" x14ac:dyDescent="0.25">
      <c r="C19" s="72"/>
      <c r="K19" t="s">
        <v>25</v>
      </c>
    </row>
    <row r="21" spans="1:11" ht="15.75" thickBot="1" x14ac:dyDescent="0.3"/>
    <row r="22" spans="1:11" ht="15.75" thickBot="1" x14ac:dyDescent="0.3">
      <c r="A22" s="87" t="s">
        <v>28</v>
      </c>
      <c r="B22" s="88"/>
      <c r="C22" s="88"/>
      <c r="D22" s="88"/>
      <c r="E22" s="88"/>
      <c r="F22" s="88"/>
      <c r="G22" s="88"/>
      <c r="H22" s="88"/>
      <c r="I22" s="88"/>
      <c r="J22" s="88"/>
      <c r="K22" s="89"/>
    </row>
    <row r="23" spans="1:11" ht="15.75" thickBot="1" x14ac:dyDescent="0.3">
      <c r="A23" s="1" t="s">
        <v>0</v>
      </c>
      <c r="B23" s="2">
        <v>4.8000000000000001E-2</v>
      </c>
      <c r="C23" s="3"/>
      <c r="E23" s="74" t="s">
        <v>29</v>
      </c>
      <c r="F23" s="75"/>
      <c r="G23" s="76"/>
      <c r="J23" s="4" t="s">
        <v>1</v>
      </c>
      <c r="K23" s="5">
        <v>282.45999999999998</v>
      </c>
    </row>
    <row r="24" spans="1:11" x14ac:dyDescent="0.25">
      <c r="A24" s="6" t="s">
        <v>2</v>
      </c>
      <c r="B24" s="7" t="s">
        <v>3</v>
      </c>
      <c r="C24" s="3"/>
      <c r="D24" s="8"/>
      <c r="E24" s="18"/>
      <c r="F24" s="18"/>
      <c r="J24" s="9" t="s">
        <v>4</v>
      </c>
      <c r="K24" s="10">
        <v>0.89500000000000002</v>
      </c>
    </row>
    <row r="25" spans="1:11" x14ac:dyDescent="0.25">
      <c r="A25" s="4" t="s">
        <v>5</v>
      </c>
      <c r="B25" s="11">
        <f>14.126/K24</f>
        <v>15.783240223463686</v>
      </c>
      <c r="C25" s="3"/>
      <c r="D25" s="8"/>
      <c r="E25" s="55"/>
      <c r="F25" s="55"/>
      <c r="G25" s="3"/>
      <c r="H25" s="3"/>
      <c r="I25" s="3"/>
      <c r="J25" s="12" t="s">
        <v>6</v>
      </c>
      <c r="K25" s="13">
        <v>46.06</v>
      </c>
    </row>
    <row r="26" spans="1:11" ht="15.75" thickBot="1" x14ac:dyDescent="0.3">
      <c r="A26" s="6" t="s">
        <v>7</v>
      </c>
      <c r="B26" s="7">
        <f>2.313/K26</f>
        <v>2.9315589353612168</v>
      </c>
      <c r="C26" s="3"/>
      <c r="D26" s="8"/>
      <c r="E26" s="3"/>
      <c r="F26" s="3"/>
      <c r="G26" s="3"/>
      <c r="H26" s="3"/>
      <c r="I26" s="3"/>
      <c r="J26" s="4" t="s">
        <v>8</v>
      </c>
      <c r="K26" s="14">
        <v>0.78900000000000003</v>
      </c>
    </row>
    <row r="27" spans="1:11" ht="15.75" thickBot="1" x14ac:dyDescent="0.3">
      <c r="A27" s="15" t="s">
        <v>9</v>
      </c>
      <c r="B27" s="16">
        <v>0.20699999999999999</v>
      </c>
      <c r="C27" s="3"/>
      <c r="D27" s="3"/>
      <c r="E27" s="3"/>
      <c r="F27" s="3"/>
      <c r="G27" s="3"/>
      <c r="H27" s="3"/>
      <c r="I27" s="3"/>
      <c r="J27" s="56" t="s">
        <v>10</v>
      </c>
      <c r="K27" s="57">
        <v>1</v>
      </c>
    </row>
    <row r="28" spans="1:11" ht="15.75" thickBot="1" x14ac:dyDescent="0.3">
      <c r="A28" s="3"/>
      <c r="B28" s="3"/>
      <c r="C28" s="77" t="s">
        <v>11</v>
      </c>
      <c r="D28" s="78"/>
      <c r="E28" s="78"/>
      <c r="F28" s="79"/>
      <c r="G28" s="3"/>
      <c r="H28" s="17" t="s">
        <v>12</v>
      </c>
      <c r="I28" s="3"/>
      <c r="J28" s="3"/>
      <c r="K28" s="3"/>
    </row>
    <row r="29" spans="1:11" ht="15.75" thickBot="1" x14ac:dyDescent="0.3">
      <c r="A29" s="18"/>
      <c r="B29" s="18"/>
      <c r="C29" s="80" t="s">
        <v>26</v>
      </c>
      <c r="D29" s="81"/>
      <c r="E29" s="81"/>
      <c r="F29" s="82"/>
      <c r="G29" s="56" t="s">
        <v>14</v>
      </c>
      <c r="H29" s="59" t="s">
        <v>15</v>
      </c>
      <c r="I29" s="60" t="s">
        <v>25</v>
      </c>
      <c r="J29" s="3"/>
      <c r="K29" s="3"/>
    </row>
    <row r="30" spans="1:11" ht="18.75" thickBot="1" x14ac:dyDescent="0.3">
      <c r="A30" s="61" t="s">
        <v>16</v>
      </c>
      <c r="B30" s="62" t="s">
        <v>17</v>
      </c>
      <c r="C30" s="61" t="s">
        <v>18</v>
      </c>
      <c r="D30" s="63" t="s">
        <v>19</v>
      </c>
      <c r="E30" s="64"/>
      <c r="F30" s="65" t="s">
        <v>20</v>
      </c>
      <c r="G30" s="66" t="s">
        <v>21</v>
      </c>
      <c r="H30" s="65" t="s">
        <v>22</v>
      </c>
      <c r="I30" s="65" t="s">
        <v>23</v>
      </c>
      <c r="J30" s="66" t="s">
        <v>24</v>
      </c>
      <c r="K30" s="68" t="s">
        <v>33</v>
      </c>
    </row>
    <row r="31" spans="1:11" ht="15.75" thickBot="1" x14ac:dyDescent="0.3">
      <c r="A31" s="19">
        <v>0</v>
      </c>
      <c r="B31" s="20">
        <v>300</v>
      </c>
      <c r="C31" s="21">
        <v>17.600000000000001</v>
      </c>
      <c r="D31" s="22">
        <v>17.600000000000001</v>
      </c>
      <c r="E31" s="23"/>
      <c r="F31" s="24">
        <f t="shared" ref="F31:F36" si="2">AVERAGE(C31:D31)</f>
        <v>17.600000000000001</v>
      </c>
      <c r="G31" s="25">
        <f>B23*F31*10^-3</f>
        <v>8.4480000000000015E-4</v>
      </c>
      <c r="H31" s="26">
        <f>B25+B26</f>
        <v>18.714799158824903</v>
      </c>
      <c r="I31" s="26">
        <f t="shared" ref="I31:I36" si="3">(H31*G31)/(0.3)</f>
        <v>5.2700874431250933E-2</v>
      </c>
      <c r="J31" s="67"/>
      <c r="K31" s="83">
        <f>(0.000444874/B27)*1000000</f>
        <v>2149.1497584541062</v>
      </c>
    </row>
    <row r="32" spans="1:11" ht="15.75" thickBot="1" x14ac:dyDescent="0.3">
      <c r="A32" s="28">
        <v>10</v>
      </c>
      <c r="B32" s="29">
        <v>300</v>
      </c>
      <c r="C32" s="30">
        <v>16</v>
      </c>
      <c r="D32" s="31">
        <v>17</v>
      </c>
      <c r="E32" s="32"/>
      <c r="F32" s="24">
        <f t="shared" si="2"/>
        <v>16.5</v>
      </c>
      <c r="G32" s="33">
        <f>B23*F32*10^-3</f>
        <v>7.9200000000000006E-4</v>
      </c>
      <c r="H32" s="34">
        <f>H31-0.6</f>
        <v>18.114799158824901</v>
      </c>
      <c r="I32" s="26">
        <f t="shared" si="3"/>
        <v>4.7823069779297747E-2</v>
      </c>
      <c r="J32" s="67">
        <f>(I31-I32)</f>
        <v>4.8778046519531854E-3</v>
      </c>
      <c r="K32" s="84"/>
    </row>
    <row r="33" spans="1:11" ht="15.75" thickBot="1" x14ac:dyDescent="0.3">
      <c r="A33" s="28">
        <v>20</v>
      </c>
      <c r="B33" s="29">
        <v>300</v>
      </c>
      <c r="C33" s="30">
        <v>15.5</v>
      </c>
      <c r="D33" s="31">
        <v>15.35</v>
      </c>
      <c r="E33" s="32"/>
      <c r="F33" s="24">
        <f t="shared" si="2"/>
        <v>15.425000000000001</v>
      </c>
      <c r="G33" s="33">
        <f>B23*F33*10^-3</f>
        <v>7.4040000000000011E-4</v>
      </c>
      <c r="H33" s="34">
        <f>H32-0.6</f>
        <v>17.5147991588249</v>
      </c>
      <c r="I33" s="26">
        <f t="shared" si="3"/>
        <v>4.3226524323979859E-2</v>
      </c>
      <c r="J33" s="67">
        <f>(I31-I33)</f>
        <v>9.4743501072710734E-3</v>
      </c>
      <c r="K33" s="84"/>
    </row>
    <row r="34" spans="1:11" ht="15.75" thickBot="1" x14ac:dyDescent="0.3">
      <c r="A34" s="35">
        <v>30</v>
      </c>
      <c r="B34" s="36">
        <v>300</v>
      </c>
      <c r="C34" s="37">
        <v>14.1</v>
      </c>
      <c r="D34" s="38">
        <v>14.05</v>
      </c>
      <c r="E34" s="39"/>
      <c r="F34" s="24">
        <f t="shared" si="2"/>
        <v>14.074999999999999</v>
      </c>
      <c r="G34" s="40">
        <f>B23*F34*10^-3</f>
        <v>6.7559999999999994E-4</v>
      </c>
      <c r="H34" s="41">
        <f>H33-0.6</f>
        <v>16.914799158824898</v>
      </c>
      <c r="I34" s="26">
        <f t="shared" si="3"/>
        <v>3.8092127705673669E-2</v>
      </c>
      <c r="J34" s="67">
        <f>(I31-I34)</f>
        <v>1.4608746725577264E-2</v>
      </c>
      <c r="K34" s="84"/>
    </row>
    <row r="35" spans="1:11" ht="15.75" thickBot="1" x14ac:dyDescent="0.3">
      <c r="A35" s="42">
        <v>40</v>
      </c>
      <c r="B35" s="43">
        <v>300</v>
      </c>
      <c r="C35" s="44">
        <v>12.5</v>
      </c>
      <c r="D35" s="45">
        <v>12.9</v>
      </c>
      <c r="F35" s="46">
        <f t="shared" si="2"/>
        <v>12.7</v>
      </c>
      <c r="G35" s="47">
        <f>B23*F35*10^-3</f>
        <v>6.0960000000000007E-4</v>
      </c>
      <c r="H35" s="41">
        <f>H34-0.6</f>
        <v>16.314799158824897</v>
      </c>
      <c r="I35" s="26">
        <f t="shared" si="3"/>
        <v>3.3151671890732197E-2</v>
      </c>
      <c r="J35" s="67">
        <f>(I31-I35)</f>
        <v>1.9549202540518736E-2</v>
      </c>
      <c r="K35" s="84"/>
    </row>
    <row r="36" spans="1:11" ht="15.75" thickBot="1" x14ac:dyDescent="0.3">
      <c r="A36" s="48">
        <v>60</v>
      </c>
      <c r="B36" s="49">
        <v>300</v>
      </c>
      <c r="C36" s="50">
        <v>10.45</v>
      </c>
      <c r="D36" s="51">
        <v>10.1</v>
      </c>
      <c r="E36" s="52"/>
      <c r="F36" s="53">
        <f t="shared" si="2"/>
        <v>10.274999999999999</v>
      </c>
      <c r="G36" s="54">
        <f>B23*F36*10^-3</f>
        <v>4.9319999999999995E-4</v>
      </c>
      <c r="H36" s="41">
        <f>H35-0.6</f>
        <v>15.714799158824897</v>
      </c>
      <c r="I36" s="26">
        <f t="shared" si="3"/>
        <v>2.583512981710813E-2</v>
      </c>
      <c r="J36" s="67">
        <f>(I31-I36)</f>
        <v>2.6865744614142803E-2</v>
      </c>
      <c r="K36" s="85"/>
    </row>
  </sheetData>
  <mergeCells count="12">
    <mergeCell ref="E23:G23"/>
    <mergeCell ref="C28:F28"/>
    <mergeCell ref="C29:F29"/>
    <mergeCell ref="K31:K36"/>
    <mergeCell ref="B1:G1"/>
    <mergeCell ref="A4:K4"/>
    <mergeCell ref="E5:G5"/>
    <mergeCell ref="C10:F10"/>
    <mergeCell ref="C11:F11"/>
    <mergeCell ref="K13:K18"/>
    <mergeCell ref="A22:K22"/>
    <mergeCell ref="B2:D2"/>
  </mergeCells>
  <pageMargins left="0.7" right="0.7" top="0.75" bottom="0.75" header="0.3" footer="0.3"/>
  <ignoredErrors>
    <ignoredError sqref="F13:F18 F31:F36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C951C-CBA0-4678-AC21-96FCA5CD5065}">
  <dimension ref="A1:K36"/>
  <sheetViews>
    <sheetView topLeftCell="A12" zoomScale="55" zoomScaleNormal="55" workbookViewId="0">
      <selection activeCell="M19" sqref="M19"/>
    </sheetView>
  </sheetViews>
  <sheetFormatPr defaultRowHeight="15" x14ac:dyDescent="0.25"/>
  <cols>
    <col min="1" max="1" width="14.42578125" bestFit="1" customWidth="1"/>
    <col min="2" max="2" width="12.42578125" bestFit="1" customWidth="1"/>
    <col min="3" max="4" width="9.85546875" bestFit="1" customWidth="1"/>
    <col min="6" max="6" width="11.140625" bestFit="1" customWidth="1"/>
    <col min="7" max="7" width="34.28515625" bestFit="1" customWidth="1"/>
    <col min="8" max="8" width="24.140625" bestFit="1" customWidth="1"/>
    <col min="9" max="9" width="39.7109375" bestFit="1" customWidth="1"/>
    <col min="10" max="10" width="20.42578125" bestFit="1" customWidth="1"/>
    <col min="11" max="11" width="16.140625" bestFit="1" customWidth="1"/>
  </cols>
  <sheetData>
    <row r="1" spans="1:11" ht="18" x14ac:dyDescent="0.25">
      <c r="B1" s="86" t="s">
        <v>36</v>
      </c>
      <c r="C1" s="86"/>
      <c r="D1" s="86"/>
      <c r="E1" s="86"/>
      <c r="F1" s="86"/>
      <c r="G1" s="86"/>
      <c r="H1" s="69" t="s">
        <v>31</v>
      </c>
      <c r="I1" s="69" t="s">
        <v>30</v>
      </c>
      <c r="J1" s="70">
        <f>AVERAGE(K31,K13)</f>
        <v>1765.0014128387188</v>
      </c>
      <c r="K1" s="71" t="s">
        <v>32</v>
      </c>
    </row>
    <row r="2" spans="1:11" x14ac:dyDescent="0.25">
      <c r="B2" s="96" t="s">
        <v>35</v>
      </c>
      <c r="C2" s="96"/>
      <c r="D2" s="96"/>
      <c r="E2" s="73">
        <v>2096.9536586307149</v>
      </c>
    </row>
    <row r="3" spans="1:11" ht="15.75" thickBot="1" x14ac:dyDescent="0.3"/>
    <row r="4" spans="1:11" ht="15.75" thickBot="1" x14ac:dyDescent="0.3">
      <c r="A4" s="87" t="s">
        <v>27</v>
      </c>
      <c r="B4" s="88"/>
      <c r="C4" s="88"/>
      <c r="D4" s="88"/>
      <c r="E4" s="88"/>
      <c r="F4" s="88"/>
      <c r="G4" s="88"/>
      <c r="H4" s="88"/>
      <c r="I4" s="88"/>
      <c r="J4" s="88"/>
      <c r="K4" s="89"/>
    </row>
    <row r="5" spans="1:11" ht="15.75" thickBot="1" x14ac:dyDescent="0.3">
      <c r="A5" s="1" t="s">
        <v>0</v>
      </c>
      <c r="B5" s="2">
        <v>4.8000000000000001E-2</v>
      </c>
      <c r="C5" s="3"/>
      <c r="E5" s="74" t="s">
        <v>29</v>
      </c>
      <c r="F5" s="75"/>
      <c r="G5" s="76"/>
      <c r="J5" s="4" t="s">
        <v>1</v>
      </c>
      <c r="K5" s="5">
        <v>282.45999999999998</v>
      </c>
    </row>
    <row r="6" spans="1:11" x14ac:dyDescent="0.25">
      <c r="A6" s="6" t="s">
        <v>2</v>
      </c>
      <c r="B6" s="7" t="s">
        <v>3</v>
      </c>
      <c r="C6" s="3"/>
      <c r="D6" s="8"/>
      <c r="E6" s="18"/>
      <c r="F6" s="18"/>
      <c r="J6" s="9" t="s">
        <v>4</v>
      </c>
      <c r="K6" s="10">
        <v>0.89500000000000002</v>
      </c>
    </row>
    <row r="7" spans="1:11" x14ac:dyDescent="0.25">
      <c r="A7" s="4" t="s">
        <v>5</v>
      </c>
      <c r="B7" s="11">
        <f>14.108/K6</f>
        <v>15.763128491620112</v>
      </c>
      <c r="C7" s="3"/>
      <c r="D7" s="8"/>
      <c r="E7" s="55"/>
      <c r="F7" s="55"/>
      <c r="G7" s="3"/>
      <c r="H7" s="3"/>
      <c r="I7" s="3"/>
      <c r="J7" s="12" t="s">
        <v>6</v>
      </c>
      <c r="K7" s="13">
        <v>46.06</v>
      </c>
    </row>
    <row r="8" spans="1:11" ht="15.75" thickBot="1" x14ac:dyDescent="0.3">
      <c r="A8" s="6" t="s">
        <v>7</v>
      </c>
      <c r="B8" s="7">
        <f>2.303/K8</f>
        <v>2.918884664131812</v>
      </c>
      <c r="C8" s="3"/>
      <c r="D8" s="8"/>
      <c r="E8" s="3"/>
      <c r="F8" s="3"/>
      <c r="G8" s="3"/>
      <c r="H8" s="3"/>
      <c r="I8" s="3"/>
      <c r="J8" s="4" t="s">
        <v>8</v>
      </c>
      <c r="K8" s="14">
        <v>0.78900000000000003</v>
      </c>
    </row>
    <row r="9" spans="1:11" ht="15.75" thickBot="1" x14ac:dyDescent="0.3">
      <c r="A9" s="15" t="s">
        <v>9</v>
      </c>
      <c r="B9" s="16">
        <v>0.20599999999999999</v>
      </c>
      <c r="C9" s="3"/>
      <c r="D9" s="3"/>
      <c r="E9" s="3"/>
      <c r="F9" s="3"/>
      <c r="G9" s="3"/>
      <c r="H9" s="3"/>
      <c r="I9" s="3"/>
      <c r="J9" s="56" t="s">
        <v>10</v>
      </c>
      <c r="K9" s="57">
        <v>1</v>
      </c>
    </row>
    <row r="10" spans="1:11" ht="15.75" thickBot="1" x14ac:dyDescent="0.3">
      <c r="A10" s="3"/>
      <c r="B10" s="3"/>
      <c r="C10" s="90" t="s">
        <v>11</v>
      </c>
      <c r="D10" s="91"/>
      <c r="E10" s="91"/>
      <c r="F10" s="92"/>
      <c r="G10" s="3"/>
      <c r="H10" s="58" t="s">
        <v>12</v>
      </c>
      <c r="I10" s="3"/>
      <c r="J10" s="3"/>
      <c r="K10" s="3"/>
    </row>
    <row r="11" spans="1:11" ht="15.75" thickBot="1" x14ac:dyDescent="0.3">
      <c r="A11" s="18"/>
      <c r="B11" s="18"/>
      <c r="C11" s="93" t="s">
        <v>13</v>
      </c>
      <c r="D11" s="94"/>
      <c r="E11" s="94"/>
      <c r="F11" s="95"/>
      <c r="G11" s="56" t="s">
        <v>14</v>
      </c>
      <c r="H11" s="59" t="s">
        <v>15</v>
      </c>
      <c r="I11" s="60"/>
      <c r="J11" s="3"/>
      <c r="K11" s="3"/>
    </row>
    <row r="12" spans="1:11" ht="18.75" thickBot="1" x14ac:dyDescent="0.3">
      <c r="A12" s="61" t="s">
        <v>16</v>
      </c>
      <c r="B12" s="62" t="s">
        <v>17</v>
      </c>
      <c r="C12" s="61" t="s">
        <v>18</v>
      </c>
      <c r="D12" s="63" t="s">
        <v>19</v>
      </c>
      <c r="E12" s="64"/>
      <c r="F12" s="65" t="s">
        <v>20</v>
      </c>
      <c r="G12" s="66" t="s">
        <v>21</v>
      </c>
      <c r="H12" s="65" t="s">
        <v>22</v>
      </c>
      <c r="I12" s="65" t="s">
        <v>23</v>
      </c>
      <c r="J12" s="66" t="s">
        <v>24</v>
      </c>
      <c r="K12" s="65" t="s">
        <v>33</v>
      </c>
    </row>
    <row r="13" spans="1:11" ht="15.75" thickBot="1" x14ac:dyDescent="0.3">
      <c r="A13" s="19">
        <v>0</v>
      </c>
      <c r="B13" s="20">
        <v>300</v>
      </c>
      <c r="C13" s="21">
        <v>16.3</v>
      </c>
      <c r="D13" s="22">
        <v>16.399999999999999</v>
      </c>
      <c r="E13" s="23"/>
      <c r="F13" s="24">
        <f t="shared" ref="F13:F18" si="0">AVERAGE(C13:D13)</f>
        <v>16.350000000000001</v>
      </c>
      <c r="G13" s="25">
        <f>B5*F13*10^-3</f>
        <v>7.848000000000001E-4</v>
      </c>
      <c r="H13" s="26">
        <f>B7+B8</f>
        <v>18.682013155751925</v>
      </c>
      <c r="I13" s="27">
        <f>(H13*G13)/(0.3)</f>
        <v>4.8872146415447043E-2</v>
      </c>
      <c r="J13" s="27"/>
      <c r="K13" s="83">
        <f>(0.000349641/B9)*1000000</f>
        <v>1697.2864077669901</v>
      </c>
    </row>
    <row r="14" spans="1:11" ht="15.75" thickBot="1" x14ac:dyDescent="0.3">
      <c r="A14" s="28">
        <v>10</v>
      </c>
      <c r="B14" s="29">
        <v>300</v>
      </c>
      <c r="C14" s="30">
        <v>15.8</v>
      </c>
      <c r="D14" s="31">
        <v>15.9</v>
      </c>
      <c r="E14" s="32"/>
      <c r="F14" s="24">
        <f t="shared" si="0"/>
        <v>15.850000000000001</v>
      </c>
      <c r="G14" s="33">
        <f>B5*F14*10^-3</f>
        <v>7.6080000000000006E-4</v>
      </c>
      <c r="H14" s="34">
        <f>H13-0.6</f>
        <v>18.082013155751923</v>
      </c>
      <c r="I14" s="27">
        <f>(H14*G14)/(0.3)</f>
        <v>4.5855985362986885E-2</v>
      </c>
      <c r="J14" s="27">
        <f>(I13-I14)</f>
        <v>3.0161610524601576E-3</v>
      </c>
      <c r="K14" s="84"/>
    </row>
    <row r="15" spans="1:11" ht="15.75" thickBot="1" x14ac:dyDescent="0.3">
      <c r="A15" s="28">
        <v>20</v>
      </c>
      <c r="B15" s="29">
        <v>300</v>
      </c>
      <c r="C15" s="30">
        <v>15.2</v>
      </c>
      <c r="D15" s="31">
        <v>15.3</v>
      </c>
      <c r="E15" s="32"/>
      <c r="F15" s="24">
        <f t="shared" si="0"/>
        <v>15.25</v>
      </c>
      <c r="G15" s="33">
        <f>B5*F15*10^-3</f>
        <v>7.3200000000000001E-4</v>
      </c>
      <c r="H15" s="34">
        <f>H14-0.6</f>
        <v>17.482013155751922</v>
      </c>
      <c r="I15" s="26">
        <f t="shared" ref="I15:I18" si="1">(H15*G15)/(0.3)</f>
        <v>4.2656112100034692E-2</v>
      </c>
      <c r="J15" s="27">
        <f>(I13-I15)</f>
        <v>6.2160343154123512E-3</v>
      </c>
      <c r="K15" s="84"/>
    </row>
    <row r="16" spans="1:11" ht="15.75" thickBot="1" x14ac:dyDescent="0.3">
      <c r="A16" s="35">
        <v>30</v>
      </c>
      <c r="B16" s="36">
        <v>300</v>
      </c>
      <c r="C16" s="37">
        <v>15</v>
      </c>
      <c r="D16" s="38">
        <v>14.6</v>
      </c>
      <c r="E16" s="39"/>
      <c r="F16" s="24">
        <f t="shared" si="0"/>
        <v>14.8</v>
      </c>
      <c r="G16" s="40">
        <f>B5*F16*10^-3</f>
        <v>7.1040000000000003E-4</v>
      </c>
      <c r="H16" s="41">
        <f>H15-0.6</f>
        <v>16.88201315575192</v>
      </c>
      <c r="I16" s="26">
        <f t="shared" si="1"/>
        <v>3.9976607152820552E-2</v>
      </c>
      <c r="J16" s="27">
        <f>(I13-I16)</f>
        <v>8.8955392626264909E-3</v>
      </c>
      <c r="K16" s="84"/>
    </row>
    <row r="17" spans="1:11" ht="15.75" thickBot="1" x14ac:dyDescent="0.3">
      <c r="A17" s="42">
        <v>40</v>
      </c>
      <c r="B17" s="43">
        <v>300</v>
      </c>
      <c r="C17" s="44">
        <v>13.9</v>
      </c>
      <c r="D17" s="45">
        <v>14.2</v>
      </c>
      <c r="F17" s="46">
        <f t="shared" si="0"/>
        <v>14.05</v>
      </c>
      <c r="G17" s="47">
        <f>B5*F17*10^-3</f>
        <v>6.7440000000000002E-4</v>
      </c>
      <c r="H17" s="41">
        <f>H16-0.6</f>
        <v>16.282013155751919</v>
      </c>
      <c r="I17" s="26">
        <f t="shared" si="1"/>
        <v>3.660196557413032E-2</v>
      </c>
      <c r="J17" s="27">
        <f>(I13-I17)</f>
        <v>1.2270180841316723E-2</v>
      </c>
      <c r="K17" s="84"/>
    </row>
    <row r="18" spans="1:11" ht="15.75" thickBot="1" x14ac:dyDescent="0.3">
      <c r="A18" s="48">
        <v>60</v>
      </c>
      <c r="B18" s="49">
        <v>300</v>
      </c>
      <c r="C18" s="50">
        <v>11.4</v>
      </c>
      <c r="D18" s="51">
        <v>11.1</v>
      </c>
      <c r="E18" s="52"/>
      <c r="F18" s="53">
        <f t="shared" si="0"/>
        <v>11.25</v>
      </c>
      <c r="G18" s="54">
        <f>B5*F18*10^-3</f>
        <v>5.4000000000000001E-4</v>
      </c>
      <c r="H18" s="41">
        <f>H17-0.6</f>
        <v>15.682013155751919</v>
      </c>
      <c r="I18" s="26">
        <f t="shared" si="1"/>
        <v>2.8227623680353454E-2</v>
      </c>
      <c r="J18" s="27">
        <f>(I13-I18)</f>
        <v>2.0644522735093589E-2</v>
      </c>
      <c r="K18" s="85"/>
    </row>
    <row r="19" spans="1:11" x14ac:dyDescent="0.25">
      <c r="C19" s="72"/>
      <c r="K19" t="s">
        <v>25</v>
      </c>
    </row>
    <row r="21" spans="1:11" ht="15.75" thickBot="1" x14ac:dyDescent="0.3"/>
    <row r="22" spans="1:11" ht="15.75" thickBot="1" x14ac:dyDescent="0.3">
      <c r="A22" s="87" t="s">
        <v>28</v>
      </c>
      <c r="B22" s="88"/>
      <c r="C22" s="88"/>
      <c r="D22" s="88"/>
      <c r="E22" s="88"/>
      <c r="F22" s="88"/>
      <c r="G22" s="88"/>
      <c r="H22" s="88"/>
      <c r="I22" s="88"/>
      <c r="J22" s="88"/>
      <c r="K22" s="89"/>
    </row>
    <row r="23" spans="1:11" ht="15.75" thickBot="1" x14ac:dyDescent="0.3">
      <c r="A23" s="1" t="s">
        <v>0</v>
      </c>
      <c r="B23" s="2">
        <v>4.8000000000000001E-2</v>
      </c>
      <c r="C23" s="3"/>
      <c r="E23" s="74" t="s">
        <v>29</v>
      </c>
      <c r="F23" s="75"/>
      <c r="G23" s="76"/>
      <c r="J23" s="4" t="s">
        <v>1</v>
      </c>
      <c r="K23" s="5">
        <v>282.45999999999998</v>
      </c>
    </row>
    <row r="24" spans="1:11" x14ac:dyDescent="0.25">
      <c r="A24" s="6" t="s">
        <v>2</v>
      </c>
      <c r="B24" s="7" t="s">
        <v>3</v>
      </c>
      <c r="C24" s="3"/>
      <c r="D24" s="8"/>
      <c r="E24" s="18"/>
      <c r="F24" s="18"/>
      <c r="J24" s="9" t="s">
        <v>4</v>
      </c>
      <c r="K24" s="10">
        <v>0.89500000000000002</v>
      </c>
    </row>
    <row r="25" spans="1:11" x14ac:dyDescent="0.25">
      <c r="A25" s="4" t="s">
        <v>5</v>
      </c>
      <c r="B25" s="11">
        <f>14.115/K24</f>
        <v>15.770949720670391</v>
      </c>
      <c r="C25" s="3"/>
      <c r="D25" s="8"/>
      <c r="E25" s="55"/>
      <c r="F25" s="55"/>
      <c r="G25" s="3"/>
      <c r="H25" s="3"/>
      <c r="I25" s="3"/>
      <c r="J25" s="12" t="s">
        <v>6</v>
      </c>
      <c r="K25" s="13">
        <v>46.06</v>
      </c>
    </row>
    <row r="26" spans="1:11" ht="15.75" thickBot="1" x14ac:dyDescent="0.3">
      <c r="A26" s="6" t="s">
        <v>7</v>
      </c>
      <c r="B26" s="7">
        <f>2.307/K26</f>
        <v>2.9239543726235739</v>
      </c>
      <c r="C26" s="3"/>
      <c r="D26" s="8"/>
      <c r="E26" s="3"/>
      <c r="F26" s="3"/>
      <c r="G26" s="3"/>
      <c r="H26" s="3"/>
      <c r="I26" s="3"/>
      <c r="J26" s="4" t="s">
        <v>8</v>
      </c>
      <c r="K26" s="14">
        <v>0.78900000000000003</v>
      </c>
    </row>
    <row r="27" spans="1:11" ht="15.75" thickBot="1" x14ac:dyDescent="0.3">
      <c r="A27" s="15" t="s">
        <v>9</v>
      </c>
      <c r="B27" s="16">
        <v>0.20100000000000001</v>
      </c>
      <c r="C27" s="3"/>
      <c r="D27" s="3"/>
      <c r="E27" s="3"/>
      <c r="F27" s="3"/>
      <c r="G27" s="3"/>
      <c r="H27" s="3"/>
      <c r="I27" s="3"/>
      <c r="J27" s="56" t="s">
        <v>10</v>
      </c>
      <c r="K27" s="57">
        <v>1</v>
      </c>
    </row>
    <row r="28" spans="1:11" ht="15.75" thickBot="1" x14ac:dyDescent="0.3">
      <c r="A28" s="3"/>
      <c r="B28" s="3"/>
      <c r="C28" s="77" t="s">
        <v>11</v>
      </c>
      <c r="D28" s="78"/>
      <c r="E28" s="78"/>
      <c r="F28" s="79"/>
      <c r="G28" s="3"/>
      <c r="H28" s="17" t="s">
        <v>12</v>
      </c>
      <c r="I28" s="3"/>
      <c r="J28" s="3"/>
      <c r="K28" s="3"/>
    </row>
    <row r="29" spans="1:11" ht="15.75" thickBot="1" x14ac:dyDescent="0.3">
      <c r="A29" s="18"/>
      <c r="B29" s="18"/>
      <c r="C29" s="80" t="s">
        <v>26</v>
      </c>
      <c r="D29" s="81"/>
      <c r="E29" s="81"/>
      <c r="F29" s="82"/>
      <c r="G29" s="56" t="s">
        <v>14</v>
      </c>
      <c r="H29" s="59" t="s">
        <v>15</v>
      </c>
      <c r="I29" s="60" t="s">
        <v>25</v>
      </c>
      <c r="J29" s="3"/>
      <c r="K29" s="3"/>
    </row>
    <row r="30" spans="1:11" ht="18.75" thickBot="1" x14ac:dyDescent="0.3">
      <c r="A30" s="61" t="s">
        <v>16</v>
      </c>
      <c r="B30" s="62" t="s">
        <v>17</v>
      </c>
      <c r="C30" s="61" t="s">
        <v>18</v>
      </c>
      <c r="D30" s="63" t="s">
        <v>19</v>
      </c>
      <c r="E30" s="64"/>
      <c r="F30" s="65" t="s">
        <v>20</v>
      </c>
      <c r="G30" s="66" t="s">
        <v>21</v>
      </c>
      <c r="H30" s="65" t="s">
        <v>22</v>
      </c>
      <c r="I30" s="65" t="s">
        <v>23</v>
      </c>
      <c r="J30" s="66" t="s">
        <v>24</v>
      </c>
      <c r="K30" s="68" t="s">
        <v>33</v>
      </c>
    </row>
    <row r="31" spans="1:11" ht="15.75" thickBot="1" x14ac:dyDescent="0.3">
      <c r="A31" s="19">
        <v>0</v>
      </c>
      <c r="B31" s="20">
        <v>300</v>
      </c>
      <c r="C31" s="21">
        <v>16.3</v>
      </c>
      <c r="D31" s="22">
        <v>17</v>
      </c>
      <c r="E31" s="23"/>
      <c r="F31" s="24">
        <f t="shared" ref="F31:F36" si="2">AVERAGE(C31:D31)</f>
        <v>16.649999999999999</v>
      </c>
      <c r="G31" s="25">
        <f>B23*F31*10^-3</f>
        <v>7.9919999999999991E-4</v>
      </c>
      <c r="H31" s="26">
        <f>B25+B26</f>
        <v>18.694904093293964</v>
      </c>
      <c r="I31" s="26">
        <f t="shared" ref="I31:I36" si="3">(H31*G31)/(0.3)</f>
        <v>4.9803224504535115E-2</v>
      </c>
      <c r="J31" s="67"/>
      <c r="K31" s="83">
        <f>(0.000368376/B27)*1000000</f>
        <v>1832.7164179104477</v>
      </c>
    </row>
    <row r="32" spans="1:11" ht="15.75" thickBot="1" x14ac:dyDescent="0.3">
      <c r="A32" s="28">
        <v>10</v>
      </c>
      <c r="B32" s="29">
        <v>300</v>
      </c>
      <c r="C32" s="30">
        <v>16.100000000000001</v>
      </c>
      <c r="D32" s="31">
        <v>16.100000000000001</v>
      </c>
      <c r="E32" s="32"/>
      <c r="F32" s="24">
        <f t="shared" si="2"/>
        <v>16.100000000000001</v>
      </c>
      <c r="G32" s="33">
        <f>B23*F32*10^-3</f>
        <v>7.7280000000000003E-4</v>
      </c>
      <c r="H32" s="34">
        <f>H31-0.6</f>
        <v>18.094904093293962</v>
      </c>
      <c r="I32" s="26">
        <f t="shared" si="3"/>
        <v>4.6612472944325252E-2</v>
      </c>
      <c r="J32" s="67">
        <f>(I31-I32)</f>
        <v>3.1907515602098632E-3</v>
      </c>
      <c r="K32" s="84"/>
    </row>
    <row r="33" spans="1:11" ht="15.75" thickBot="1" x14ac:dyDescent="0.3">
      <c r="A33" s="28">
        <v>20</v>
      </c>
      <c r="B33" s="29">
        <v>300</v>
      </c>
      <c r="C33" s="30">
        <v>15.4</v>
      </c>
      <c r="D33" s="31">
        <v>15.4</v>
      </c>
      <c r="E33" s="32"/>
      <c r="F33" s="24">
        <f t="shared" si="2"/>
        <v>15.4</v>
      </c>
      <c r="G33" s="33">
        <f>B23*F33*10^-3</f>
        <v>7.3920000000000008E-4</v>
      </c>
      <c r="H33" s="34">
        <f>H32-0.6</f>
        <v>17.494904093293961</v>
      </c>
      <c r="I33" s="26">
        <f t="shared" si="3"/>
        <v>4.310744368587633E-2</v>
      </c>
      <c r="J33" s="67">
        <f>(I31-I33)</f>
        <v>6.695780818658785E-3</v>
      </c>
      <c r="K33" s="84"/>
    </row>
    <row r="34" spans="1:11" ht="15.75" thickBot="1" x14ac:dyDescent="0.3">
      <c r="A34" s="35">
        <v>30</v>
      </c>
      <c r="B34" s="36">
        <v>300</v>
      </c>
      <c r="C34" s="37">
        <v>14.6</v>
      </c>
      <c r="D34" s="38">
        <v>14.7</v>
      </c>
      <c r="E34" s="39"/>
      <c r="F34" s="24">
        <f t="shared" si="2"/>
        <v>14.649999999999999</v>
      </c>
      <c r="G34" s="40">
        <f>B23*F34*10^-3</f>
        <v>7.0319999999999996E-4</v>
      </c>
      <c r="H34" s="41">
        <f>H33-0.6</f>
        <v>16.89490409329396</v>
      </c>
      <c r="I34" s="26">
        <f t="shared" si="3"/>
        <v>3.9601655194681042E-2</v>
      </c>
      <c r="J34" s="67">
        <f>(I31-I34)</f>
        <v>1.0201569309854074E-2</v>
      </c>
      <c r="K34" s="84"/>
    </row>
    <row r="35" spans="1:11" ht="15.75" thickBot="1" x14ac:dyDescent="0.3">
      <c r="A35" s="42">
        <v>40</v>
      </c>
      <c r="B35" s="43">
        <v>300</v>
      </c>
      <c r="C35" s="44">
        <v>13.7</v>
      </c>
      <c r="D35" s="45">
        <v>13.7</v>
      </c>
      <c r="F35" s="46">
        <f t="shared" si="2"/>
        <v>13.7</v>
      </c>
      <c r="G35" s="47">
        <f>B23*F35*10^-3</f>
        <v>6.5759999999999994E-4</v>
      </c>
      <c r="H35" s="41">
        <f>H34-0.6</f>
        <v>16.294904093293958</v>
      </c>
      <c r="I35" s="26">
        <f t="shared" si="3"/>
        <v>3.5718429772500358E-2</v>
      </c>
      <c r="J35" s="67">
        <f>(I31-I35)</f>
        <v>1.4084794732034757E-2</v>
      </c>
      <c r="K35" s="84"/>
    </row>
    <row r="36" spans="1:11" ht="15.75" thickBot="1" x14ac:dyDescent="0.3">
      <c r="A36" s="48">
        <v>60</v>
      </c>
      <c r="B36" s="49">
        <v>300</v>
      </c>
      <c r="C36" s="50">
        <v>11.4</v>
      </c>
      <c r="D36" s="51">
        <v>11.1</v>
      </c>
      <c r="E36" s="52"/>
      <c r="F36" s="53">
        <f t="shared" si="2"/>
        <v>11.25</v>
      </c>
      <c r="G36" s="54">
        <f>B23*F36*10^-3</f>
        <v>5.4000000000000001E-4</v>
      </c>
      <c r="H36" s="41">
        <f>H35-0.6</f>
        <v>15.694904093293959</v>
      </c>
      <c r="I36" s="26">
        <f t="shared" si="3"/>
        <v>2.8250827367929127E-2</v>
      </c>
      <c r="J36" s="67">
        <f>(I31-I36)</f>
        <v>2.1552397136605988E-2</v>
      </c>
      <c r="K36" s="85"/>
    </row>
  </sheetData>
  <mergeCells count="12">
    <mergeCell ref="A22:K22"/>
    <mergeCell ref="E23:G23"/>
    <mergeCell ref="C28:F28"/>
    <mergeCell ref="C29:F29"/>
    <mergeCell ref="K31:K36"/>
    <mergeCell ref="K13:K18"/>
    <mergeCell ref="B1:G1"/>
    <mergeCell ref="A4:K4"/>
    <mergeCell ref="E5:G5"/>
    <mergeCell ref="C10:F10"/>
    <mergeCell ref="C11:F11"/>
    <mergeCell ref="B2:D2"/>
  </mergeCells>
  <pageMargins left="0.7" right="0.7" top="0.75" bottom="0.75" header="0.3" footer="0.3"/>
  <ignoredErrors>
    <ignoredError sqref="F13:F18 F31:F36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DA25-4508-4FC2-B92C-27E16D1440DE}">
  <dimension ref="A1:K35"/>
  <sheetViews>
    <sheetView topLeftCell="A16" zoomScale="70" zoomScaleNormal="70" workbookViewId="0">
      <selection activeCell="I19" sqref="I19"/>
    </sheetView>
  </sheetViews>
  <sheetFormatPr defaultRowHeight="15" x14ac:dyDescent="0.25"/>
  <cols>
    <col min="1" max="1" width="14.42578125" bestFit="1" customWidth="1"/>
    <col min="2" max="2" width="12.42578125" bestFit="1" customWidth="1"/>
    <col min="3" max="4" width="9.85546875" bestFit="1" customWidth="1"/>
    <col min="5" max="5" width="12" bestFit="1" customWidth="1"/>
    <col min="6" max="6" width="11.140625" bestFit="1" customWidth="1"/>
    <col min="7" max="7" width="34.28515625" bestFit="1" customWidth="1"/>
    <col min="8" max="8" width="24.140625" bestFit="1" customWidth="1"/>
    <col min="9" max="9" width="39.7109375" bestFit="1" customWidth="1"/>
    <col min="10" max="10" width="20.42578125" bestFit="1" customWidth="1"/>
    <col min="11" max="11" width="15.5703125" bestFit="1" customWidth="1"/>
  </cols>
  <sheetData>
    <row r="1" spans="1:11" x14ac:dyDescent="0.25">
      <c r="B1" s="96" t="s">
        <v>35</v>
      </c>
      <c r="C1" s="96"/>
      <c r="D1" s="96"/>
      <c r="E1" s="73">
        <v>2096.9536586307149</v>
      </c>
    </row>
    <row r="2" spans="1:11" ht="15.75" thickBot="1" x14ac:dyDescent="0.3"/>
    <row r="3" spans="1:11" ht="15.75" thickBot="1" x14ac:dyDescent="0.3">
      <c r="A3" s="87" t="s">
        <v>27</v>
      </c>
      <c r="B3" s="88"/>
      <c r="C3" s="88"/>
      <c r="D3" s="88"/>
      <c r="E3" s="88"/>
      <c r="F3" s="88"/>
      <c r="G3" s="88"/>
      <c r="H3" s="88"/>
      <c r="I3" s="88"/>
      <c r="J3" s="88"/>
      <c r="K3" s="89"/>
    </row>
    <row r="4" spans="1:11" ht="15.75" thickBot="1" x14ac:dyDescent="0.3">
      <c r="A4" s="1" t="s">
        <v>0</v>
      </c>
      <c r="B4" s="2">
        <v>0.05</v>
      </c>
      <c r="C4" s="3"/>
      <c r="E4" s="74" t="s">
        <v>29</v>
      </c>
      <c r="F4" s="75"/>
      <c r="G4" s="76"/>
      <c r="J4" s="4" t="s">
        <v>1</v>
      </c>
      <c r="K4" s="5">
        <v>282.45999999999998</v>
      </c>
    </row>
    <row r="5" spans="1:11" x14ac:dyDescent="0.25">
      <c r="A5" s="6" t="s">
        <v>2</v>
      </c>
      <c r="B5" s="7" t="s">
        <v>3</v>
      </c>
      <c r="C5" s="3"/>
      <c r="D5" s="8"/>
      <c r="E5" s="18"/>
      <c r="F5" s="18"/>
      <c r="J5" s="9" t="s">
        <v>4</v>
      </c>
      <c r="K5" s="10">
        <v>0.89500000000000002</v>
      </c>
    </row>
    <row r="6" spans="1:11" x14ac:dyDescent="0.25">
      <c r="A6" s="4" t="s">
        <v>5</v>
      </c>
      <c r="B6" s="11">
        <f>14.107/K5</f>
        <v>15.762011173184357</v>
      </c>
      <c r="C6" s="3"/>
      <c r="D6" s="8"/>
      <c r="E6" s="55"/>
      <c r="F6" s="55"/>
      <c r="G6" s="3"/>
      <c r="H6" s="3"/>
      <c r="I6" s="3"/>
      <c r="J6" s="12" t="s">
        <v>6</v>
      </c>
      <c r="K6" s="13">
        <v>46.06</v>
      </c>
    </row>
    <row r="7" spans="1:11" ht="15.75" thickBot="1" x14ac:dyDescent="0.3">
      <c r="A7" s="6" t="s">
        <v>7</v>
      </c>
      <c r="B7" s="7">
        <f>2.305/K7</f>
        <v>2.9214195183776934</v>
      </c>
      <c r="C7" s="3"/>
      <c r="D7" s="8"/>
      <c r="E7" s="3"/>
      <c r="F7" s="3"/>
      <c r="G7" s="3"/>
      <c r="H7" s="3"/>
      <c r="I7" s="3"/>
      <c r="J7" s="4" t="s">
        <v>8</v>
      </c>
      <c r="K7" s="14">
        <v>0.78900000000000003</v>
      </c>
    </row>
    <row r="8" spans="1:11" ht="15.75" thickBot="1" x14ac:dyDescent="0.3">
      <c r="A8" s="15" t="s">
        <v>9</v>
      </c>
      <c r="B8" s="16">
        <v>0.20100000000000001</v>
      </c>
      <c r="C8" s="3"/>
      <c r="D8" s="3"/>
      <c r="E8" s="3"/>
      <c r="F8" s="3"/>
      <c r="G8" s="3"/>
      <c r="H8" s="3"/>
      <c r="I8" s="3"/>
      <c r="J8" s="56" t="s">
        <v>10</v>
      </c>
      <c r="K8" s="57">
        <v>1</v>
      </c>
    </row>
    <row r="9" spans="1:11" ht="15.75" thickBot="1" x14ac:dyDescent="0.3">
      <c r="A9" s="3"/>
      <c r="B9" s="3"/>
      <c r="C9" s="90" t="s">
        <v>11</v>
      </c>
      <c r="D9" s="91"/>
      <c r="E9" s="91"/>
      <c r="F9" s="92"/>
      <c r="G9" s="3"/>
      <c r="H9" s="58" t="s">
        <v>12</v>
      </c>
      <c r="I9" s="3"/>
      <c r="J9" s="3"/>
      <c r="K9" s="3"/>
    </row>
    <row r="10" spans="1:11" ht="15.75" thickBot="1" x14ac:dyDescent="0.3">
      <c r="A10" s="18"/>
      <c r="B10" s="18"/>
      <c r="C10" s="93" t="s">
        <v>13</v>
      </c>
      <c r="D10" s="94"/>
      <c r="E10" s="94"/>
      <c r="F10" s="95"/>
      <c r="G10" s="56" t="s">
        <v>14</v>
      </c>
      <c r="H10" s="59" t="s">
        <v>15</v>
      </c>
      <c r="I10" s="60"/>
      <c r="J10" s="3"/>
      <c r="K10" s="3"/>
    </row>
    <row r="11" spans="1:11" ht="18.75" thickBot="1" x14ac:dyDescent="0.3">
      <c r="A11" s="61" t="s">
        <v>16</v>
      </c>
      <c r="B11" s="62" t="s">
        <v>17</v>
      </c>
      <c r="C11" s="61" t="s">
        <v>18</v>
      </c>
      <c r="D11" s="63" t="s">
        <v>19</v>
      </c>
      <c r="E11" s="64"/>
      <c r="F11" s="65" t="s">
        <v>20</v>
      </c>
      <c r="G11" s="66" t="s">
        <v>21</v>
      </c>
      <c r="H11" s="65" t="s">
        <v>22</v>
      </c>
      <c r="I11" s="65" t="s">
        <v>23</v>
      </c>
      <c r="J11" s="66" t="s">
        <v>24</v>
      </c>
      <c r="K11" s="65" t="s">
        <v>33</v>
      </c>
    </row>
    <row r="12" spans="1:11" ht="15.75" thickBot="1" x14ac:dyDescent="0.3">
      <c r="A12" s="19">
        <v>0</v>
      </c>
      <c r="B12" s="20">
        <v>300</v>
      </c>
      <c r="C12" s="21">
        <v>15.7</v>
      </c>
      <c r="D12" s="22">
        <v>15.9</v>
      </c>
      <c r="E12" s="23"/>
      <c r="F12" s="24">
        <f t="shared" ref="F12:F17" si="0">AVERAGE(C12:D12)</f>
        <v>15.8</v>
      </c>
      <c r="G12" s="25">
        <f>B4*F12*10^-3</f>
        <v>7.9000000000000001E-4</v>
      </c>
      <c r="H12" s="26">
        <f>B6+B7</f>
        <v>18.683430691562052</v>
      </c>
      <c r="I12" s="27">
        <f>(H12*G12)/(0.3)</f>
        <v>4.9199700821113405E-2</v>
      </c>
      <c r="J12" s="27">
        <v>0</v>
      </c>
      <c r="K12" s="83">
        <f>(0.000489600712/B8)*1000000</f>
        <v>2435.8244378109448</v>
      </c>
    </row>
    <row r="13" spans="1:11" ht="15.75" thickBot="1" x14ac:dyDescent="0.3">
      <c r="A13" s="28">
        <v>10</v>
      </c>
      <c r="B13" s="29">
        <v>300</v>
      </c>
      <c r="C13" s="30">
        <v>13.7</v>
      </c>
      <c r="D13" s="31">
        <v>13.9</v>
      </c>
      <c r="E13" s="32"/>
      <c r="F13" s="24">
        <f t="shared" si="0"/>
        <v>13.8</v>
      </c>
      <c r="G13" s="33">
        <f>B4*F13*10^-3</f>
        <v>6.9000000000000008E-4</v>
      </c>
      <c r="H13" s="34">
        <f>H12-0.6</f>
        <v>18.08343069156205</v>
      </c>
      <c r="I13" s="27">
        <f>(H13*G13)/(0.3)</f>
        <v>4.159189059059272E-2</v>
      </c>
      <c r="J13" s="27">
        <f>(I12-I13)</f>
        <v>7.6078102305206854E-3</v>
      </c>
      <c r="K13" s="84"/>
    </row>
    <row r="14" spans="1:11" ht="15.75" thickBot="1" x14ac:dyDescent="0.3">
      <c r="A14" s="28">
        <v>20</v>
      </c>
      <c r="B14" s="29">
        <v>300</v>
      </c>
      <c r="C14" s="30">
        <v>12.2</v>
      </c>
      <c r="D14" s="31">
        <v>12.3</v>
      </c>
      <c r="E14" s="32"/>
      <c r="F14" s="24">
        <f t="shared" si="0"/>
        <v>12.25</v>
      </c>
      <c r="G14" s="33">
        <f>B4*F14*10^-3</f>
        <v>6.1250000000000009E-4</v>
      </c>
      <c r="H14" s="34">
        <f>H13-0.6</f>
        <v>17.483430691562049</v>
      </c>
      <c r="I14" s="26">
        <f t="shared" ref="I14:I17" si="1">(H14*G14)/(0.3)</f>
        <v>3.5695337661939192E-2</v>
      </c>
      <c r="J14" s="27">
        <f>(I12-I14)</f>
        <v>1.3504363159174214E-2</v>
      </c>
      <c r="K14" s="84"/>
    </row>
    <row r="15" spans="1:11" ht="15.75" thickBot="1" x14ac:dyDescent="0.3">
      <c r="A15" s="35">
        <v>30</v>
      </c>
      <c r="B15" s="36">
        <v>300</v>
      </c>
      <c r="C15" s="37">
        <v>10.5</v>
      </c>
      <c r="D15" s="38">
        <v>10.6</v>
      </c>
      <c r="E15" s="39"/>
      <c r="F15" s="24">
        <f t="shared" si="0"/>
        <v>10.55</v>
      </c>
      <c r="G15" s="40">
        <f>B4*F15*10^-3</f>
        <v>5.2750000000000008E-4</v>
      </c>
      <c r="H15" s="41">
        <f>H14-0.6</f>
        <v>16.883430691562047</v>
      </c>
      <c r="I15" s="26">
        <f t="shared" si="1"/>
        <v>2.9686698965996607E-2</v>
      </c>
      <c r="J15" s="27">
        <f>(I12-I15)</f>
        <v>1.9513001855116799E-2</v>
      </c>
      <c r="K15" s="84"/>
    </row>
    <row r="16" spans="1:11" ht="15.75" thickBot="1" x14ac:dyDescent="0.3">
      <c r="A16" s="42">
        <v>40</v>
      </c>
      <c r="B16" s="43">
        <v>300</v>
      </c>
      <c r="C16" s="44">
        <v>10</v>
      </c>
      <c r="D16" s="45">
        <v>10.1</v>
      </c>
      <c r="F16" s="46">
        <f t="shared" si="0"/>
        <v>10.050000000000001</v>
      </c>
      <c r="G16" s="47">
        <f>B4*F16*10^-3</f>
        <v>5.0250000000000002E-4</v>
      </c>
      <c r="H16" s="41">
        <f>H15-0.6</f>
        <v>16.283430691562046</v>
      </c>
      <c r="I16" s="26">
        <f t="shared" si="1"/>
        <v>2.727474640836643E-2</v>
      </c>
      <c r="J16" s="27">
        <f>(I12-I16)</f>
        <v>2.1924954412746975E-2</v>
      </c>
      <c r="K16" s="84"/>
    </row>
    <row r="17" spans="1:11" ht="15.75" thickBot="1" x14ac:dyDescent="0.3">
      <c r="A17" s="48">
        <v>60</v>
      </c>
      <c r="B17" s="49">
        <v>300</v>
      </c>
      <c r="C17" s="50">
        <v>8.6</v>
      </c>
      <c r="D17" s="51">
        <v>8.9</v>
      </c>
      <c r="E17" s="52"/>
      <c r="F17" s="53">
        <f t="shared" si="0"/>
        <v>8.75</v>
      </c>
      <c r="G17" s="54">
        <f>B4*F17*10^-3</f>
        <v>4.3750000000000001E-4</v>
      </c>
      <c r="H17" s="41">
        <f>H16-0.6</f>
        <v>15.683430691562046</v>
      </c>
      <c r="I17" s="26">
        <f t="shared" si="1"/>
        <v>2.2871669758527984E-2</v>
      </c>
      <c r="J17" s="27">
        <f>(I12-I17)</f>
        <v>2.6328031062585421E-2</v>
      </c>
      <c r="K17" s="85"/>
    </row>
    <row r="18" spans="1:11" x14ac:dyDescent="0.25">
      <c r="C18" s="72"/>
      <c r="K18" t="s">
        <v>25</v>
      </c>
    </row>
    <row r="20" spans="1:11" ht="15.75" thickBot="1" x14ac:dyDescent="0.3"/>
    <row r="21" spans="1:11" ht="15.75" thickBot="1" x14ac:dyDescent="0.3">
      <c r="A21" s="87" t="s">
        <v>28</v>
      </c>
      <c r="B21" s="88"/>
      <c r="C21" s="88"/>
      <c r="D21" s="88"/>
      <c r="E21" s="88"/>
      <c r="F21" s="88"/>
      <c r="G21" s="88"/>
      <c r="H21" s="88"/>
      <c r="I21" s="88"/>
      <c r="J21" s="88"/>
      <c r="K21" s="89"/>
    </row>
    <row r="22" spans="1:11" ht="15.75" thickBot="1" x14ac:dyDescent="0.3">
      <c r="A22" s="1" t="s">
        <v>0</v>
      </c>
      <c r="B22" s="2">
        <v>0.05</v>
      </c>
      <c r="C22" s="3"/>
      <c r="E22" s="74" t="s">
        <v>29</v>
      </c>
      <c r="F22" s="75"/>
      <c r="G22" s="76"/>
      <c r="J22" s="4" t="s">
        <v>1</v>
      </c>
      <c r="K22" s="5">
        <v>282.45999999999998</v>
      </c>
    </row>
    <row r="23" spans="1:11" x14ac:dyDescent="0.25">
      <c r="A23" s="6" t="s">
        <v>2</v>
      </c>
      <c r="B23" s="7" t="s">
        <v>3</v>
      </c>
      <c r="C23" s="3"/>
      <c r="D23" s="8"/>
      <c r="E23" s="18"/>
      <c r="F23" s="18"/>
      <c r="J23" s="9" t="s">
        <v>4</v>
      </c>
      <c r="K23" s="10">
        <v>0.89500000000000002</v>
      </c>
    </row>
    <row r="24" spans="1:11" x14ac:dyDescent="0.25">
      <c r="A24" s="4" t="s">
        <v>5</v>
      </c>
      <c r="B24" s="11">
        <f>14.103/K23</f>
        <v>15.757541899441341</v>
      </c>
      <c r="C24" s="3"/>
      <c r="D24" s="8"/>
      <c r="E24" s="55"/>
      <c r="F24" s="55"/>
      <c r="G24" s="3"/>
      <c r="H24" s="3"/>
      <c r="I24" s="3"/>
      <c r="J24" s="12" t="s">
        <v>6</v>
      </c>
      <c r="K24" s="13">
        <v>46.06</v>
      </c>
    </row>
    <row r="25" spans="1:11" ht="15.75" thickBot="1" x14ac:dyDescent="0.3">
      <c r="A25" s="6" t="s">
        <v>7</v>
      </c>
      <c r="B25" s="7">
        <f>2.315/K25</f>
        <v>2.9340937896070973</v>
      </c>
      <c r="C25" s="3"/>
      <c r="D25" s="8"/>
      <c r="E25" s="3"/>
      <c r="F25" s="3"/>
      <c r="G25" s="3"/>
      <c r="H25" s="3"/>
      <c r="I25" s="3"/>
      <c r="J25" s="4" t="s">
        <v>8</v>
      </c>
      <c r="K25" s="14">
        <v>0.78900000000000003</v>
      </c>
    </row>
    <row r="26" spans="1:11" ht="15.75" thickBot="1" x14ac:dyDescent="0.3">
      <c r="A26" s="15" t="s">
        <v>9</v>
      </c>
      <c r="B26" s="16">
        <v>0.20200000000000001</v>
      </c>
      <c r="C26" s="3"/>
      <c r="D26" s="3"/>
      <c r="E26" s="3"/>
      <c r="F26" s="3"/>
      <c r="G26" s="3"/>
      <c r="H26" s="3"/>
      <c r="I26" s="3"/>
      <c r="J26" s="56" t="s">
        <v>10</v>
      </c>
      <c r="K26" s="57">
        <v>1</v>
      </c>
    </row>
    <row r="27" spans="1:11" ht="15.75" thickBot="1" x14ac:dyDescent="0.3">
      <c r="A27" s="3"/>
      <c r="B27" s="3"/>
      <c r="C27" s="77" t="s">
        <v>11</v>
      </c>
      <c r="D27" s="78"/>
      <c r="E27" s="78"/>
      <c r="F27" s="79"/>
      <c r="G27" s="3"/>
      <c r="H27" s="17" t="s">
        <v>12</v>
      </c>
      <c r="I27" s="3"/>
      <c r="J27" s="3"/>
      <c r="K27" s="3"/>
    </row>
    <row r="28" spans="1:11" ht="15.75" thickBot="1" x14ac:dyDescent="0.3">
      <c r="A28" s="18"/>
      <c r="B28" s="18"/>
      <c r="C28" s="80" t="s">
        <v>26</v>
      </c>
      <c r="D28" s="81"/>
      <c r="E28" s="81"/>
      <c r="F28" s="82"/>
      <c r="G28" s="56" t="s">
        <v>14</v>
      </c>
      <c r="H28" s="59" t="s">
        <v>15</v>
      </c>
      <c r="I28" s="60" t="s">
        <v>25</v>
      </c>
      <c r="J28" s="3"/>
      <c r="K28" s="3"/>
    </row>
    <row r="29" spans="1:11" ht="18.75" thickBot="1" x14ac:dyDescent="0.3">
      <c r="A29" s="61" t="s">
        <v>16</v>
      </c>
      <c r="B29" s="62" t="s">
        <v>17</v>
      </c>
      <c r="C29" s="61" t="s">
        <v>18</v>
      </c>
      <c r="D29" s="63" t="s">
        <v>19</v>
      </c>
      <c r="E29" s="64"/>
      <c r="F29" s="65" t="s">
        <v>20</v>
      </c>
      <c r="G29" s="66" t="s">
        <v>21</v>
      </c>
      <c r="H29" s="65" t="s">
        <v>22</v>
      </c>
      <c r="I29" s="65" t="s">
        <v>23</v>
      </c>
      <c r="J29" s="66" t="s">
        <v>24</v>
      </c>
      <c r="K29" s="68" t="s">
        <v>33</v>
      </c>
    </row>
    <row r="30" spans="1:11" ht="15.75" thickBot="1" x14ac:dyDescent="0.3">
      <c r="A30" s="19">
        <v>0</v>
      </c>
      <c r="B30" s="20">
        <v>300</v>
      </c>
      <c r="C30" s="21">
        <v>15.9</v>
      </c>
      <c r="D30" s="22">
        <v>16.399999999999999</v>
      </c>
      <c r="E30" s="23"/>
      <c r="F30" s="24">
        <f t="shared" ref="F30:F35" si="2">AVERAGE(C30:D30)</f>
        <v>16.149999999999999</v>
      </c>
      <c r="G30" s="25">
        <f>B22*F30*10^-3</f>
        <v>8.0750000000000006E-4</v>
      </c>
      <c r="H30" s="26">
        <f>B24+B25</f>
        <v>18.691635689048439</v>
      </c>
      <c r="I30" s="26">
        <f t="shared" ref="I30:I35" si="3">(H30*G30)/(0.3)</f>
        <v>5.0311652729688724E-2</v>
      </c>
      <c r="J30" s="67">
        <v>0</v>
      </c>
      <c r="K30" s="83">
        <f>(0.000488362531/B26)*1000000</f>
        <v>2417.636292079208</v>
      </c>
    </row>
    <row r="31" spans="1:11" ht="15.75" thickBot="1" x14ac:dyDescent="0.3">
      <c r="A31" s="28">
        <v>10</v>
      </c>
      <c r="B31" s="29">
        <v>300</v>
      </c>
      <c r="C31" s="30">
        <v>14.1</v>
      </c>
      <c r="D31" s="31">
        <v>13.9</v>
      </c>
      <c r="E31" s="32"/>
      <c r="F31" s="24">
        <f t="shared" si="2"/>
        <v>14</v>
      </c>
      <c r="G31" s="33">
        <f>B22*F31*10^-3</f>
        <v>7.000000000000001E-4</v>
      </c>
      <c r="H31" s="34">
        <f>H30-0.6</f>
        <v>18.091635689048438</v>
      </c>
      <c r="I31" s="26">
        <f t="shared" si="3"/>
        <v>4.2213816607779696E-2</v>
      </c>
      <c r="J31" s="67">
        <f>(I30-I31)</f>
        <v>8.0978361219090286E-3</v>
      </c>
      <c r="K31" s="84"/>
    </row>
    <row r="32" spans="1:11" ht="15.75" thickBot="1" x14ac:dyDescent="0.3">
      <c r="A32" s="28">
        <v>20</v>
      </c>
      <c r="B32" s="29">
        <v>300</v>
      </c>
      <c r="C32" s="30">
        <v>12.4</v>
      </c>
      <c r="D32" s="31">
        <v>11.9</v>
      </c>
      <c r="E32" s="32"/>
      <c r="F32" s="24">
        <f t="shared" si="2"/>
        <v>12.15</v>
      </c>
      <c r="G32" s="33">
        <f>B22*F32*10^-3</f>
        <v>6.0750000000000008E-4</v>
      </c>
      <c r="H32" s="34">
        <f>H31-0.6</f>
        <v>17.491635689048437</v>
      </c>
      <c r="I32" s="26">
        <f t="shared" si="3"/>
        <v>3.5420562270323093E-2</v>
      </c>
      <c r="J32" s="67">
        <f>(I30-I32)</f>
        <v>1.4891090459365632E-2</v>
      </c>
      <c r="K32" s="84"/>
    </row>
    <row r="33" spans="1:11" ht="15.75" thickBot="1" x14ac:dyDescent="0.3">
      <c r="A33" s="35">
        <v>30</v>
      </c>
      <c r="B33" s="36">
        <v>300</v>
      </c>
      <c r="C33" s="37">
        <v>10.8</v>
      </c>
      <c r="D33" s="38">
        <v>10.9</v>
      </c>
      <c r="E33" s="39"/>
      <c r="F33" s="24">
        <f t="shared" si="2"/>
        <v>10.850000000000001</v>
      </c>
      <c r="G33" s="40">
        <f>B22*F33*10^-3</f>
        <v>5.4250000000000012E-4</v>
      </c>
      <c r="H33" s="41">
        <f>H32-0.6</f>
        <v>16.891635689048435</v>
      </c>
      <c r="I33" s="26">
        <f t="shared" si="3"/>
        <v>3.0545707871029264E-2</v>
      </c>
      <c r="J33" s="67">
        <f>(I30-I33)</f>
        <v>1.976594485865946E-2</v>
      </c>
      <c r="K33" s="84"/>
    </row>
    <row r="34" spans="1:11" ht="15.75" thickBot="1" x14ac:dyDescent="0.3">
      <c r="A34" s="42">
        <v>40</v>
      </c>
      <c r="B34" s="43">
        <v>300</v>
      </c>
      <c r="C34" s="44">
        <v>10.1</v>
      </c>
      <c r="D34" s="45">
        <v>10.199999999999999</v>
      </c>
      <c r="F34" s="46">
        <f t="shared" si="2"/>
        <v>10.149999999999999</v>
      </c>
      <c r="G34" s="47">
        <f>B22*F34*10^-3</f>
        <v>5.0749999999999992E-4</v>
      </c>
      <c r="H34" s="41">
        <f>H33-0.6</f>
        <v>16.291635689048434</v>
      </c>
      <c r="I34" s="26">
        <f t="shared" si="3"/>
        <v>2.7560017040640265E-2</v>
      </c>
      <c r="J34" s="67">
        <f>(I30-I34)</f>
        <v>2.275163568904846E-2</v>
      </c>
      <c r="K34" s="84"/>
    </row>
    <row r="35" spans="1:11" ht="15.75" thickBot="1" x14ac:dyDescent="0.3">
      <c r="A35" s="48">
        <v>60</v>
      </c>
      <c r="B35" s="49">
        <v>300</v>
      </c>
      <c r="C35" s="50">
        <v>8.8000000000000007</v>
      </c>
      <c r="D35" s="51">
        <v>9</v>
      </c>
      <c r="E35" s="52"/>
      <c r="F35" s="53">
        <f t="shared" si="2"/>
        <v>8.9</v>
      </c>
      <c r="G35" s="54">
        <f>B22*F35*10^-3</f>
        <v>4.4500000000000008E-4</v>
      </c>
      <c r="H35" s="41">
        <f>H34-0.6</f>
        <v>15.691635689048434</v>
      </c>
      <c r="I35" s="26">
        <f t="shared" si="3"/>
        <v>2.3275926272088517E-2</v>
      </c>
      <c r="J35" s="67">
        <f>(I30-I35)</f>
        <v>2.7035726457600207E-2</v>
      </c>
      <c r="K35" s="85"/>
    </row>
  </sheetData>
  <mergeCells count="11">
    <mergeCell ref="K12:K17"/>
    <mergeCell ref="B1:D1"/>
    <mergeCell ref="A3:K3"/>
    <mergeCell ref="E4:G4"/>
    <mergeCell ref="C9:F9"/>
    <mergeCell ref="C10:F10"/>
    <mergeCell ref="A21:K21"/>
    <mergeCell ref="E22:G22"/>
    <mergeCell ref="C27:F27"/>
    <mergeCell ref="C28:F28"/>
    <mergeCell ref="K30:K3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B185-5837-4930-A90D-27FB00298644}">
  <dimension ref="A1:K35"/>
  <sheetViews>
    <sheetView topLeftCell="A7" zoomScale="65" zoomScaleNormal="85" workbookViewId="0">
      <selection activeCell="U19" sqref="U19"/>
    </sheetView>
  </sheetViews>
  <sheetFormatPr defaultRowHeight="15" x14ac:dyDescent="0.25"/>
  <cols>
    <col min="1" max="1" width="14.42578125" bestFit="1" customWidth="1"/>
    <col min="2" max="2" width="12.42578125" bestFit="1" customWidth="1"/>
    <col min="3" max="4" width="9.85546875" bestFit="1" customWidth="1"/>
    <col min="5" max="5" width="12" bestFit="1" customWidth="1"/>
    <col min="6" max="6" width="11.140625" bestFit="1" customWidth="1"/>
    <col min="7" max="7" width="34.28515625" bestFit="1" customWidth="1"/>
    <col min="8" max="8" width="24.140625" bestFit="1" customWidth="1"/>
    <col min="9" max="9" width="39.7109375" bestFit="1" customWidth="1"/>
    <col min="10" max="10" width="20.42578125" bestFit="1" customWidth="1"/>
    <col min="11" max="11" width="15.5703125" bestFit="1" customWidth="1"/>
  </cols>
  <sheetData>
    <row r="1" spans="1:11" x14ac:dyDescent="0.25">
      <c r="B1" s="96" t="s">
        <v>35</v>
      </c>
      <c r="C1" s="96"/>
      <c r="D1" s="96"/>
      <c r="E1" s="73">
        <v>2096.9536586307149</v>
      </c>
    </row>
    <row r="2" spans="1:11" ht="15.75" thickBot="1" x14ac:dyDescent="0.3"/>
    <row r="3" spans="1:11" ht="15.75" thickBot="1" x14ac:dyDescent="0.3">
      <c r="A3" s="87" t="s">
        <v>27</v>
      </c>
      <c r="B3" s="88"/>
      <c r="C3" s="88"/>
      <c r="D3" s="88"/>
      <c r="E3" s="88"/>
      <c r="F3" s="88"/>
      <c r="G3" s="88"/>
      <c r="H3" s="88"/>
      <c r="I3" s="88"/>
      <c r="J3" s="88"/>
      <c r="K3" s="89"/>
    </row>
    <row r="4" spans="1:11" ht="15.75" thickBot="1" x14ac:dyDescent="0.3">
      <c r="A4" s="1" t="s">
        <v>0</v>
      </c>
      <c r="B4" s="2">
        <v>4.8000000000000001E-2</v>
      </c>
      <c r="C4" s="3"/>
      <c r="E4" s="74" t="s">
        <v>29</v>
      </c>
      <c r="F4" s="75"/>
      <c r="G4" s="76"/>
      <c r="J4" s="4" t="s">
        <v>1</v>
      </c>
      <c r="K4" s="5">
        <v>282.45999999999998</v>
      </c>
    </row>
    <row r="5" spans="1:11" x14ac:dyDescent="0.25">
      <c r="A5" s="6" t="s">
        <v>2</v>
      </c>
      <c r="B5" s="7" t="s">
        <v>3</v>
      </c>
      <c r="C5" s="3"/>
      <c r="D5" s="8"/>
      <c r="E5" s="18"/>
      <c r="F5" s="18"/>
      <c r="J5" s="9" t="s">
        <v>4</v>
      </c>
      <c r="K5" s="10">
        <v>0.89500000000000002</v>
      </c>
    </row>
    <row r="6" spans="1:11" x14ac:dyDescent="0.25">
      <c r="A6" s="4" t="s">
        <v>5</v>
      </c>
      <c r="B6" s="11">
        <f>14.105/K5</f>
        <v>15.759776536312849</v>
      </c>
      <c r="C6" s="3"/>
      <c r="D6" s="8"/>
      <c r="E6" s="55"/>
      <c r="F6" s="55"/>
      <c r="G6" s="3"/>
      <c r="H6" s="3"/>
      <c r="I6" s="3"/>
      <c r="J6" s="12" t="s">
        <v>6</v>
      </c>
      <c r="K6" s="13">
        <v>46.06</v>
      </c>
    </row>
    <row r="7" spans="1:11" ht="15.75" thickBot="1" x14ac:dyDescent="0.3">
      <c r="A7" s="6" t="s">
        <v>7</v>
      </c>
      <c r="B7" s="7">
        <f>2.308/K7</f>
        <v>2.9252217997465144</v>
      </c>
      <c r="C7" s="3"/>
      <c r="D7" s="8"/>
      <c r="E7" s="3"/>
      <c r="F7" s="3"/>
      <c r="G7" s="3"/>
      <c r="H7" s="3"/>
      <c r="I7" s="3"/>
      <c r="J7" s="4" t="s">
        <v>8</v>
      </c>
      <c r="K7" s="14">
        <v>0.78900000000000003</v>
      </c>
    </row>
    <row r="8" spans="1:11" ht="15.75" thickBot="1" x14ac:dyDescent="0.3">
      <c r="A8" s="15" t="s">
        <v>9</v>
      </c>
      <c r="B8" s="16">
        <v>0.20649999999999999</v>
      </c>
      <c r="C8" s="3"/>
      <c r="D8" s="3"/>
      <c r="E8" s="3"/>
      <c r="F8" s="3"/>
      <c r="G8" s="3"/>
      <c r="H8" s="3"/>
      <c r="I8" s="3"/>
      <c r="J8" s="56" t="s">
        <v>10</v>
      </c>
      <c r="K8" s="57">
        <v>1</v>
      </c>
    </row>
    <row r="9" spans="1:11" ht="15.75" thickBot="1" x14ac:dyDescent="0.3">
      <c r="A9" s="3"/>
      <c r="B9" s="3"/>
      <c r="C9" s="90" t="s">
        <v>11</v>
      </c>
      <c r="D9" s="91"/>
      <c r="E9" s="91"/>
      <c r="F9" s="92"/>
      <c r="G9" s="3"/>
      <c r="H9" s="58" t="s">
        <v>12</v>
      </c>
      <c r="I9" s="3"/>
      <c r="J9" s="3"/>
      <c r="K9" s="3"/>
    </row>
    <row r="10" spans="1:11" ht="15.75" thickBot="1" x14ac:dyDescent="0.3">
      <c r="A10" s="18"/>
      <c r="B10" s="18"/>
      <c r="C10" s="93" t="s">
        <v>13</v>
      </c>
      <c r="D10" s="94"/>
      <c r="E10" s="94"/>
      <c r="F10" s="95"/>
      <c r="G10" s="56" t="s">
        <v>14</v>
      </c>
      <c r="H10" s="59" t="s">
        <v>15</v>
      </c>
      <c r="I10" s="60"/>
      <c r="J10" s="3"/>
      <c r="K10" s="3"/>
    </row>
    <row r="11" spans="1:11" ht="18.75" thickBot="1" x14ac:dyDescent="0.3">
      <c r="A11" s="61" t="s">
        <v>16</v>
      </c>
      <c r="B11" s="62" t="s">
        <v>17</v>
      </c>
      <c r="C11" s="61" t="s">
        <v>18</v>
      </c>
      <c r="D11" s="63" t="s">
        <v>19</v>
      </c>
      <c r="E11" s="64"/>
      <c r="F11" s="65" t="s">
        <v>20</v>
      </c>
      <c r="G11" s="66" t="s">
        <v>21</v>
      </c>
      <c r="H11" s="65" t="s">
        <v>22</v>
      </c>
      <c r="I11" s="65" t="s">
        <v>23</v>
      </c>
      <c r="J11" s="66" t="s">
        <v>24</v>
      </c>
      <c r="K11" s="65" t="s">
        <v>33</v>
      </c>
    </row>
    <row r="12" spans="1:11" ht="15.75" thickBot="1" x14ac:dyDescent="0.3">
      <c r="A12" s="19">
        <v>0</v>
      </c>
      <c r="B12" s="20">
        <v>300</v>
      </c>
      <c r="C12" s="21">
        <v>16.600000000000001</v>
      </c>
      <c r="D12" s="22">
        <v>17</v>
      </c>
      <c r="E12" s="23"/>
      <c r="F12" s="24">
        <f t="shared" ref="F12:F17" si="0">AVERAGE(C12:D12)</f>
        <v>16.8</v>
      </c>
      <c r="G12" s="25">
        <f>B4*F12*10^-3</f>
        <v>8.0639999999999998E-4</v>
      </c>
      <c r="H12" s="26">
        <f>B6+B7</f>
        <v>18.684998336059362</v>
      </c>
      <c r="I12" s="27">
        <f>(H12*G12)/(0.3)</f>
        <v>5.022527552732757E-2</v>
      </c>
      <c r="J12" s="27">
        <v>0</v>
      </c>
      <c r="K12" s="83">
        <f>(0.00055124916/B8)*1000000</f>
        <v>2669.4874576271186</v>
      </c>
    </row>
    <row r="13" spans="1:11" ht="15.75" thickBot="1" x14ac:dyDescent="0.3">
      <c r="A13" s="28">
        <v>10</v>
      </c>
      <c r="B13" s="29">
        <v>300</v>
      </c>
      <c r="C13" s="30">
        <v>15.2</v>
      </c>
      <c r="D13" s="31">
        <v>15.4</v>
      </c>
      <c r="E13" s="32"/>
      <c r="F13" s="24">
        <f t="shared" si="0"/>
        <v>15.3</v>
      </c>
      <c r="G13" s="33">
        <f>B4*F13*10^-3</f>
        <v>7.3440000000000007E-4</v>
      </c>
      <c r="H13" s="34">
        <f>H12-0.6</f>
        <v>18.08499833605936</v>
      </c>
      <c r="I13" s="27">
        <f>(H13*G13)/(0.3)</f>
        <v>4.4272075926673322E-2</v>
      </c>
      <c r="J13" s="27">
        <f>(I12-I13)</f>
        <v>5.9531996006542479E-3</v>
      </c>
      <c r="K13" s="84"/>
    </row>
    <row r="14" spans="1:11" ht="15.75" thickBot="1" x14ac:dyDescent="0.3">
      <c r="A14" s="28">
        <v>20</v>
      </c>
      <c r="B14" s="29">
        <v>300</v>
      </c>
      <c r="C14" s="30">
        <v>13.2</v>
      </c>
      <c r="D14" s="31">
        <v>13.3</v>
      </c>
      <c r="E14" s="32"/>
      <c r="F14" s="24">
        <f t="shared" si="0"/>
        <v>13.25</v>
      </c>
      <c r="G14" s="33">
        <f>B4*F14*10^-3</f>
        <v>6.3600000000000006E-4</v>
      </c>
      <c r="H14" s="34">
        <f>H13-0.6</f>
        <v>17.484998336059359</v>
      </c>
      <c r="I14" s="26">
        <f t="shared" ref="I14:I17" si="1">(H14*G14)/(0.3)</f>
        <v>3.7068196472445844E-2</v>
      </c>
      <c r="J14" s="27">
        <f>(I12-I14)</f>
        <v>1.3157079054881726E-2</v>
      </c>
      <c r="K14" s="84"/>
    </row>
    <row r="15" spans="1:11" ht="15.75" thickBot="1" x14ac:dyDescent="0.3">
      <c r="A15" s="35">
        <v>30</v>
      </c>
      <c r="B15" s="36">
        <v>300</v>
      </c>
      <c r="C15" s="37">
        <v>11.9</v>
      </c>
      <c r="D15" s="38">
        <v>11.8</v>
      </c>
      <c r="E15" s="39"/>
      <c r="F15" s="24">
        <f t="shared" si="0"/>
        <v>11.850000000000001</v>
      </c>
      <c r="G15" s="40">
        <f>B4*F15*10^-3</f>
        <v>5.6880000000000006E-4</v>
      </c>
      <c r="H15" s="41">
        <f>H14-0.6</f>
        <v>16.884998336059358</v>
      </c>
      <c r="I15" s="26">
        <f t="shared" si="1"/>
        <v>3.2013956845168549E-2</v>
      </c>
      <c r="J15" s="27">
        <f>(I12-I15)</f>
        <v>1.8211318682159021E-2</v>
      </c>
      <c r="K15" s="84"/>
    </row>
    <row r="16" spans="1:11" ht="15.75" thickBot="1" x14ac:dyDescent="0.3">
      <c r="A16" s="42">
        <v>40</v>
      </c>
      <c r="B16" s="43">
        <v>300</v>
      </c>
      <c r="C16" s="44">
        <v>11.1</v>
      </c>
      <c r="D16" s="45">
        <v>11</v>
      </c>
      <c r="F16" s="46">
        <f t="shared" si="0"/>
        <v>11.05</v>
      </c>
      <c r="G16" s="47">
        <f>B4*F16*10^-3</f>
        <v>5.304000000000001E-4</v>
      </c>
      <c r="H16" s="41">
        <f>H15-0.6</f>
        <v>16.284998336059356</v>
      </c>
      <c r="I16" s="26">
        <f t="shared" si="1"/>
        <v>2.8791877058152948E-2</v>
      </c>
      <c r="J16" s="27">
        <f>(I12-I16)</f>
        <v>2.1433398469174622E-2</v>
      </c>
      <c r="K16" s="84"/>
    </row>
    <row r="17" spans="1:11" ht="15.75" thickBot="1" x14ac:dyDescent="0.3">
      <c r="A17" s="48">
        <v>60</v>
      </c>
      <c r="B17" s="49">
        <v>300</v>
      </c>
      <c r="C17" s="50">
        <v>9.4</v>
      </c>
      <c r="D17" s="51">
        <v>9.3000000000000007</v>
      </c>
      <c r="E17" s="52"/>
      <c r="F17" s="53">
        <f t="shared" si="0"/>
        <v>9.3500000000000014</v>
      </c>
      <c r="G17" s="54">
        <f>B4*F17*10^-3</f>
        <v>4.4880000000000012E-4</v>
      </c>
      <c r="H17" s="41">
        <f>H16-0.6</f>
        <v>15.684998336059357</v>
      </c>
      <c r="I17" s="26">
        <f t="shared" si="1"/>
        <v>2.3464757510744807E-2</v>
      </c>
      <c r="J17" s="27">
        <f>(I12-I17)</f>
        <v>2.6760518016582763E-2</v>
      </c>
      <c r="K17" s="85"/>
    </row>
    <row r="18" spans="1:11" x14ac:dyDescent="0.25">
      <c r="C18" s="72"/>
      <c r="K18" t="s">
        <v>25</v>
      </c>
    </row>
    <row r="20" spans="1:11" ht="15.75" thickBot="1" x14ac:dyDescent="0.3"/>
    <row r="21" spans="1:11" ht="15.75" thickBot="1" x14ac:dyDescent="0.3">
      <c r="A21" s="87" t="s">
        <v>28</v>
      </c>
      <c r="B21" s="88"/>
      <c r="C21" s="88"/>
      <c r="D21" s="88"/>
      <c r="E21" s="88"/>
      <c r="F21" s="88"/>
      <c r="G21" s="88"/>
      <c r="H21" s="88"/>
      <c r="I21" s="88"/>
      <c r="J21" s="88"/>
      <c r="K21" s="89"/>
    </row>
    <row r="22" spans="1:11" ht="15.75" thickBot="1" x14ac:dyDescent="0.3">
      <c r="A22" s="1" t="s">
        <v>0</v>
      </c>
      <c r="B22" s="2">
        <v>4.8000000000000001E-2</v>
      </c>
      <c r="C22" s="3"/>
      <c r="E22" s="74" t="s">
        <v>29</v>
      </c>
      <c r="F22" s="75"/>
      <c r="G22" s="76"/>
      <c r="J22" s="4" t="s">
        <v>1</v>
      </c>
      <c r="K22" s="5">
        <v>282.45999999999998</v>
      </c>
    </row>
    <row r="23" spans="1:11" x14ac:dyDescent="0.25">
      <c r="A23" s="6" t="s">
        <v>2</v>
      </c>
      <c r="B23" s="7" t="s">
        <v>3</v>
      </c>
      <c r="C23" s="3"/>
      <c r="D23" s="8"/>
      <c r="E23" s="18"/>
      <c r="F23" s="18"/>
      <c r="J23" s="9" t="s">
        <v>4</v>
      </c>
      <c r="K23" s="10">
        <v>0.89500000000000002</v>
      </c>
    </row>
    <row r="24" spans="1:11" x14ac:dyDescent="0.25">
      <c r="A24" s="4" t="s">
        <v>5</v>
      </c>
      <c r="B24" s="11">
        <f>14.12/K23</f>
        <v>15.77653631284916</v>
      </c>
      <c r="C24" s="3"/>
      <c r="D24" s="8"/>
      <c r="E24" s="55"/>
      <c r="F24" s="55"/>
      <c r="G24" s="3"/>
      <c r="H24" s="3"/>
      <c r="I24" s="3"/>
      <c r="J24" s="12" t="s">
        <v>6</v>
      </c>
      <c r="K24" s="13">
        <v>46.06</v>
      </c>
    </row>
    <row r="25" spans="1:11" ht="15.75" thickBot="1" x14ac:dyDescent="0.3">
      <c r="A25" s="6" t="s">
        <v>7</v>
      </c>
      <c r="B25" s="7">
        <f>2.304/K25</f>
        <v>2.9201520912547525</v>
      </c>
      <c r="C25" s="3"/>
      <c r="D25" s="8"/>
      <c r="E25" s="3"/>
      <c r="F25" s="3"/>
      <c r="G25" s="3"/>
      <c r="H25" s="3"/>
      <c r="I25" s="3"/>
      <c r="J25" s="4" t="s">
        <v>8</v>
      </c>
      <c r="K25" s="14">
        <v>0.78900000000000003</v>
      </c>
    </row>
    <row r="26" spans="1:11" ht="15.75" thickBot="1" x14ac:dyDescent="0.3">
      <c r="A26" s="15" t="s">
        <v>9</v>
      </c>
      <c r="B26" s="16">
        <v>0.20030000000000001</v>
      </c>
      <c r="C26" s="3"/>
      <c r="D26" s="3"/>
      <c r="E26" s="3"/>
      <c r="F26" s="3"/>
      <c r="G26" s="3"/>
      <c r="H26" s="3"/>
      <c r="I26" s="3"/>
      <c r="J26" s="56" t="s">
        <v>10</v>
      </c>
      <c r="K26" s="57">
        <v>1</v>
      </c>
    </row>
    <row r="27" spans="1:11" ht="15.75" thickBot="1" x14ac:dyDescent="0.3">
      <c r="A27" s="3"/>
      <c r="B27" s="3"/>
      <c r="C27" s="77" t="s">
        <v>11</v>
      </c>
      <c r="D27" s="78"/>
      <c r="E27" s="78"/>
      <c r="F27" s="79"/>
      <c r="G27" s="3"/>
      <c r="H27" s="17" t="s">
        <v>12</v>
      </c>
      <c r="I27" s="3"/>
      <c r="J27" s="3"/>
      <c r="K27" s="3"/>
    </row>
    <row r="28" spans="1:11" ht="15.75" thickBot="1" x14ac:dyDescent="0.3">
      <c r="A28" s="18"/>
      <c r="B28" s="18"/>
      <c r="C28" s="80" t="s">
        <v>26</v>
      </c>
      <c r="D28" s="81"/>
      <c r="E28" s="81"/>
      <c r="F28" s="82"/>
      <c r="G28" s="56" t="s">
        <v>14</v>
      </c>
      <c r="H28" s="59" t="s">
        <v>15</v>
      </c>
      <c r="I28" s="60" t="s">
        <v>25</v>
      </c>
      <c r="J28" s="3"/>
      <c r="K28" s="3"/>
    </row>
    <row r="29" spans="1:11" ht="18.75" thickBot="1" x14ac:dyDescent="0.3">
      <c r="A29" s="61" t="s">
        <v>16</v>
      </c>
      <c r="B29" s="62" t="s">
        <v>17</v>
      </c>
      <c r="C29" s="61" t="s">
        <v>18</v>
      </c>
      <c r="D29" s="63" t="s">
        <v>19</v>
      </c>
      <c r="E29" s="64"/>
      <c r="F29" s="65" t="s">
        <v>20</v>
      </c>
      <c r="G29" s="66" t="s">
        <v>21</v>
      </c>
      <c r="H29" s="65" t="s">
        <v>22</v>
      </c>
      <c r="I29" s="65" t="s">
        <v>23</v>
      </c>
      <c r="J29" s="66" t="s">
        <v>24</v>
      </c>
      <c r="K29" s="68" t="s">
        <v>33</v>
      </c>
    </row>
    <row r="30" spans="1:11" ht="15.75" thickBot="1" x14ac:dyDescent="0.3">
      <c r="A30" s="19">
        <v>0</v>
      </c>
      <c r="B30" s="20">
        <v>300</v>
      </c>
      <c r="C30" s="21">
        <v>17</v>
      </c>
      <c r="D30" s="22">
        <v>16.899999999999999</v>
      </c>
      <c r="E30" s="23"/>
      <c r="F30" s="24">
        <f t="shared" ref="F30:F35" si="2">AVERAGE(C30:D30)</f>
        <v>16.95</v>
      </c>
      <c r="G30" s="25">
        <f>B22*F30*10^-3</f>
        <v>8.1360000000000004E-4</v>
      </c>
      <c r="H30" s="26">
        <f>B24+B25</f>
        <v>18.696688404103913</v>
      </c>
      <c r="I30" s="26">
        <f t="shared" ref="I30:I35" si="3">(H30*G30)/(0.3)</f>
        <v>5.0705418951929815E-2</v>
      </c>
      <c r="J30" s="67">
        <v>0</v>
      </c>
      <c r="K30" s="83">
        <f>(0.000555391992/B26)*1000000</f>
        <v>2772.800758861707</v>
      </c>
    </row>
    <row r="31" spans="1:11" ht="15.75" thickBot="1" x14ac:dyDescent="0.3">
      <c r="A31" s="28">
        <v>10</v>
      </c>
      <c r="B31" s="29">
        <v>300</v>
      </c>
      <c r="C31" s="30">
        <v>14.9</v>
      </c>
      <c r="D31" s="31">
        <v>14.9</v>
      </c>
      <c r="E31" s="32"/>
      <c r="F31" s="24">
        <f t="shared" si="2"/>
        <v>14.9</v>
      </c>
      <c r="G31" s="33">
        <f>B22*F31*10^-3</f>
        <v>7.1520000000000004E-4</v>
      </c>
      <c r="H31" s="34">
        <f>H30-0.6</f>
        <v>18.096688404103912</v>
      </c>
      <c r="I31" s="26">
        <f t="shared" si="3"/>
        <v>4.3142505155383731E-2</v>
      </c>
      <c r="J31" s="67">
        <f>(I30-I31)</f>
        <v>7.5629137965460835E-3</v>
      </c>
      <c r="K31" s="84"/>
    </row>
    <row r="32" spans="1:11" ht="15.75" thickBot="1" x14ac:dyDescent="0.3">
      <c r="A32" s="28">
        <v>20</v>
      </c>
      <c r="B32" s="29">
        <v>300</v>
      </c>
      <c r="C32" s="30">
        <v>13.5</v>
      </c>
      <c r="D32" s="31">
        <v>13.3</v>
      </c>
      <c r="E32" s="32"/>
      <c r="F32" s="24">
        <f t="shared" si="2"/>
        <v>13.4</v>
      </c>
      <c r="G32" s="33">
        <f>B22*F32*10^-3</f>
        <v>6.4320000000000002E-4</v>
      </c>
      <c r="H32" s="34">
        <f>H31-0.6</f>
        <v>17.49668840410391</v>
      </c>
      <c r="I32" s="26">
        <f t="shared" si="3"/>
        <v>3.7512899938398792E-2</v>
      </c>
      <c r="J32" s="67">
        <f>(I30-I32)</f>
        <v>1.3192519013531023E-2</v>
      </c>
      <c r="K32" s="84"/>
    </row>
    <row r="33" spans="1:11" ht="15.75" thickBot="1" x14ac:dyDescent="0.3">
      <c r="A33" s="35">
        <v>30</v>
      </c>
      <c r="B33" s="36">
        <v>300</v>
      </c>
      <c r="C33" s="37">
        <v>11.8</v>
      </c>
      <c r="D33" s="38">
        <v>12</v>
      </c>
      <c r="E33" s="39"/>
      <c r="F33" s="24">
        <f t="shared" si="2"/>
        <v>11.9</v>
      </c>
      <c r="G33" s="40">
        <f>B22*F33*10^-3</f>
        <v>5.7120000000000001E-4</v>
      </c>
      <c r="H33" s="41">
        <f>H32-0.6</f>
        <v>16.896688404103909</v>
      </c>
      <c r="I33" s="26">
        <f t="shared" si="3"/>
        <v>3.2171294721413841E-2</v>
      </c>
      <c r="J33" s="67">
        <f>(I30-I33)</f>
        <v>1.8534124230515973E-2</v>
      </c>
      <c r="K33" s="84"/>
    </row>
    <row r="34" spans="1:11" ht="15.75" thickBot="1" x14ac:dyDescent="0.3">
      <c r="A34" s="42">
        <v>40</v>
      </c>
      <c r="B34" s="43">
        <v>300</v>
      </c>
      <c r="C34" s="44">
        <v>11</v>
      </c>
      <c r="D34" s="45">
        <v>10.8</v>
      </c>
      <c r="F34" s="46">
        <f t="shared" si="2"/>
        <v>10.9</v>
      </c>
      <c r="G34" s="47">
        <f>B22*F34*10^-3</f>
        <v>5.2320000000000003E-4</v>
      </c>
      <c r="H34" s="41">
        <f>H33-0.6</f>
        <v>16.296688404103907</v>
      </c>
      <c r="I34" s="26">
        <f t="shared" si="3"/>
        <v>2.8421424576757216E-2</v>
      </c>
      <c r="J34" s="67">
        <f>(I30-I34)</f>
        <v>2.2283994375172599E-2</v>
      </c>
      <c r="K34" s="84"/>
    </row>
    <row r="35" spans="1:11" ht="15.75" thickBot="1" x14ac:dyDescent="0.3">
      <c r="A35" s="48">
        <v>60</v>
      </c>
      <c r="B35" s="49">
        <v>300</v>
      </c>
      <c r="C35" s="50">
        <v>9.4</v>
      </c>
      <c r="D35" s="51">
        <v>9.5</v>
      </c>
      <c r="E35" s="52"/>
      <c r="F35" s="53">
        <f t="shared" si="2"/>
        <v>9.4499999999999993</v>
      </c>
      <c r="G35" s="54">
        <f>B22*F35*10^-3</f>
        <v>4.5359999999999997E-4</v>
      </c>
      <c r="H35" s="41">
        <f>H34-0.6</f>
        <v>15.696688404103908</v>
      </c>
      <c r="I35" s="26">
        <f t="shared" si="3"/>
        <v>2.3733392867005106E-2</v>
      </c>
      <c r="J35" s="67">
        <f>(I30-I35)</f>
        <v>2.6972026084924709E-2</v>
      </c>
      <c r="K35" s="85"/>
    </row>
  </sheetData>
  <mergeCells count="11">
    <mergeCell ref="A21:K21"/>
    <mergeCell ref="E22:G22"/>
    <mergeCell ref="C27:F27"/>
    <mergeCell ref="C28:F28"/>
    <mergeCell ref="K30:K35"/>
    <mergeCell ref="K12:K17"/>
    <mergeCell ref="B1:D1"/>
    <mergeCell ref="A3:K3"/>
    <mergeCell ref="E4:G4"/>
    <mergeCell ref="C9:F9"/>
    <mergeCell ref="C10:F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90A77-7C7E-4722-8009-4334FED8D525}">
  <dimension ref="A1:K35"/>
  <sheetViews>
    <sheetView topLeftCell="A7" zoomScale="54" zoomScaleNormal="70" workbookViewId="0">
      <selection activeCell="K36" sqref="K36"/>
    </sheetView>
  </sheetViews>
  <sheetFormatPr defaultRowHeight="15" x14ac:dyDescent="0.25"/>
  <cols>
    <col min="1" max="1" width="14.42578125" bestFit="1" customWidth="1"/>
    <col min="2" max="2" width="12.42578125" bestFit="1" customWidth="1"/>
    <col min="3" max="4" width="9.85546875" bestFit="1" customWidth="1"/>
    <col min="5" max="5" width="12" bestFit="1" customWidth="1"/>
    <col min="6" max="6" width="11.140625" bestFit="1" customWidth="1"/>
    <col min="7" max="7" width="34.28515625" bestFit="1" customWidth="1"/>
    <col min="8" max="8" width="24.140625" bestFit="1" customWidth="1"/>
    <col min="9" max="9" width="39.7109375" bestFit="1" customWidth="1"/>
    <col min="10" max="10" width="20.42578125" bestFit="1" customWidth="1"/>
    <col min="11" max="11" width="15.5703125" bestFit="1" customWidth="1"/>
  </cols>
  <sheetData>
    <row r="1" spans="1:11" x14ac:dyDescent="0.25">
      <c r="B1" s="96" t="s">
        <v>35</v>
      </c>
      <c r="C1" s="96"/>
      <c r="D1" s="96"/>
      <c r="E1" s="73">
        <v>2096.9536586307149</v>
      </c>
    </row>
    <row r="2" spans="1:11" ht="15.75" thickBot="1" x14ac:dyDescent="0.3"/>
    <row r="3" spans="1:11" ht="15.75" thickBot="1" x14ac:dyDescent="0.3">
      <c r="A3" s="87" t="s">
        <v>27</v>
      </c>
      <c r="B3" s="88"/>
      <c r="C3" s="88"/>
      <c r="D3" s="88"/>
      <c r="E3" s="88"/>
      <c r="F3" s="88"/>
      <c r="G3" s="88"/>
      <c r="H3" s="88"/>
      <c r="I3" s="88"/>
      <c r="J3" s="88"/>
      <c r="K3" s="89"/>
    </row>
    <row r="4" spans="1:11" ht="15.75" thickBot="1" x14ac:dyDescent="0.3">
      <c r="A4" s="1" t="s">
        <v>0</v>
      </c>
      <c r="B4" s="2">
        <v>0.05</v>
      </c>
      <c r="C4" s="3"/>
      <c r="E4" s="74" t="s">
        <v>29</v>
      </c>
      <c r="F4" s="75"/>
      <c r="G4" s="76"/>
      <c r="J4" s="4" t="s">
        <v>1</v>
      </c>
      <c r="K4" s="5">
        <v>282.45999999999998</v>
      </c>
    </row>
    <row r="5" spans="1:11" x14ac:dyDescent="0.25">
      <c r="A5" s="6" t="s">
        <v>2</v>
      </c>
      <c r="B5" s="7" t="s">
        <v>3</v>
      </c>
      <c r="C5" s="3"/>
      <c r="D5" s="8"/>
      <c r="E5" s="18"/>
      <c r="F5" s="18"/>
      <c r="J5" s="9" t="s">
        <v>4</v>
      </c>
      <c r="K5" s="10">
        <v>0.89500000000000002</v>
      </c>
    </row>
    <row r="6" spans="1:11" x14ac:dyDescent="0.25">
      <c r="A6" s="4" t="s">
        <v>5</v>
      </c>
      <c r="B6" s="11">
        <f>14.1075/K5</f>
        <v>15.762569832402233</v>
      </c>
      <c r="C6" s="3"/>
      <c r="D6" s="8"/>
      <c r="E6" s="55"/>
      <c r="F6" s="55"/>
      <c r="G6" s="3"/>
      <c r="H6" s="3"/>
      <c r="I6" s="3"/>
      <c r="J6" s="12" t="s">
        <v>6</v>
      </c>
      <c r="K6" s="13">
        <v>46.06</v>
      </c>
    </row>
    <row r="7" spans="1:11" ht="15.75" thickBot="1" x14ac:dyDescent="0.3">
      <c r="A7" s="6" t="s">
        <v>7</v>
      </c>
      <c r="B7" s="7">
        <f>2.3064/K7</f>
        <v>2.9231939163498097</v>
      </c>
      <c r="C7" s="3"/>
      <c r="D7" s="8"/>
      <c r="E7" s="3"/>
      <c r="F7" s="3"/>
      <c r="G7" s="3"/>
      <c r="H7" s="3"/>
      <c r="I7" s="3"/>
      <c r="J7" s="4" t="s">
        <v>8</v>
      </c>
      <c r="K7" s="14">
        <v>0.78900000000000003</v>
      </c>
    </row>
    <row r="8" spans="1:11" ht="15.75" thickBot="1" x14ac:dyDescent="0.3">
      <c r="A8" s="15" t="s">
        <v>9</v>
      </c>
      <c r="B8" s="16">
        <v>0.20710000000000001</v>
      </c>
      <c r="C8" s="3"/>
      <c r="D8" s="3"/>
      <c r="E8" s="3"/>
      <c r="F8" s="3"/>
      <c r="G8" s="3"/>
      <c r="H8" s="3"/>
      <c r="I8" s="3"/>
      <c r="J8" s="56" t="s">
        <v>10</v>
      </c>
      <c r="K8" s="57">
        <v>1</v>
      </c>
    </row>
    <row r="9" spans="1:11" ht="15.75" thickBot="1" x14ac:dyDescent="0.3">
      <c r="A9" s="3"/>
      <c r="B9" s="3"/>
      <c r="C9" s="90" t="s">
        <v>11</v>
      </c>
      <c r="D9" s="91"/>
      <c r="E9" s="91"/>
      <c r="F9" s="92"/>
      <c r="G9" s="3"/>
      <c r="H9" s="58" t="s">
        <v>12</v>
      </c>
      <c r="I9" s="3"/>
      <c r="J9" s="3"/>
      <c r="K9" s="3"/>
    </row>
    <row r="10" spans="1:11" ht="15.75" thickBot="1" x14ac:dyDescent="0.3">
      <c r="A10" s="18"/>
      <c r="B10" s="18"/>
      <c r="C10" s="93" t="s">
        <v>13</v>
      </c>
      <c r="D10" s="94"/>
      <c r="E10" s="94"/>
      <c r="F10" s="95"/>
      <c r="G10" s="56" t="s">
        <v>14</v>
      </c>
      <c r="H10" s="59" t="s">
        <v>15</v>
      </c>
      <c r="I10" s="60"/>
      <c r="J10" s="3"/>
      <c r="K10" s="3"/>
    </row>
    <row r="11" spans="1:11" ht="18.75" thickBot="1" x14ac:dyDescent="0.3">
      <c r="A11" s="61" t="s">
        <v>16</v>
      </c>
      <c r="B11" s="62" t="s">
        <v>17</v>
      </c>
      <c r="C11" s="61" t="s">
        <v>18</v>
      </c>
      <c r="D11" s="63" t="s">
        <v>19</v>
      </c>
      <c r="E11" s="64"/>
      <c r="F11" s="65" t="s">
        <v>20</v>
      </c>
      <c r="G11" s="66" t="s">
        <v>21</v>
      </c>
      <c r="H11" s="65" t="s">
        <v>22</v>
      </c>
      <c r="I11" s="65" t="s">
        <v>23</v>
      </c>
      <c r="J11" s="66" t="s">
        <v>24</v>
      </c>
      <c r="K11" s="65" t="s">
        <v>33</v>
      </c>
    </row>
    <row r="12" spans="1:11" ht="15.75" thickBot="1" x14ac:dyDescent="0.3">
      <c r="A12" s="19">
        <v>0</v>
      </c>
      <c r="B12" s="20">
        <v>300</v>
      </c>
      <c r="C12" s="21">
        <v>16.3</v>
      </c>
      <c r="D12" s="22">
        <v>16.2</v>
      </c>
      <c r="E12" s="23"/>
      <c r="F12" s="24">
        <f t="shared" ref="F12:F17" si="0">AVERAGE(C12:D12)</f>
        <v>16.25</v>
      </c>
      <c r="G12" s="25">
        <f>B4*F12*10^-3</f>
        <v>8.1250000000000007E-4</v>
      </c>
      <c r="H12" s="26">
        <f>B6+B7</f>
        <v>18.685763748752045</v>
      </c>
      <c r="I12" s="27">
        <f>(H12*G12)/(0.3)</f>
        <v>5.0607276819536792E-2</v>
      </c>
      <c r="J12" s="27">
        <v>0</v>
      </c>
      <c r="K12" s="83">
        <f>(0.00050294/B8)*1000000</f>
        <v>2428.4886528247221</v>
      </c>
    </row>
    <row r="13" spans="1:11" ht="15.75" thickBot="1" x14ac:dyDescent="0.3">
      <c r="A13" s="28">
        <v>10</v>
      </c>
      <c r="B13" s="29">
        <v>300</v>
      </c>
      <c r="C13" s="30">
        <v>14.2</v>
      </c>
      <c r="D13" s="31">
        <v>14.45</v>
      </c>
      <c r="E13" s="32"/>
      <c r="F13" s="24">
        <f t="shared" si="0"/>
        <v>14.324999999999999</v>
      </c>
      <c r="G13" s="33">
        <f>B4*F13*10^-3</f>
        <v>7.1625000000000009E-4</v>
      </c>
      <c r="H13" s="34">
        <f>H12-0.6</f>
        <v>18.085763748752044</v>
      </c>
      <c r="I13" s="27">
        <f>(H13*G13)/(0.3)</f>
        <v>4.3179760950145515E-2</v>
      </c>
      <c r="J13" s="27">
        <f>(I12-I13)</f>
        <v>7.4275158693912768E-3</v>
      </c>
      <c r="K13" s="84"/>
    </row>
    <row r="14" spans="1:11" ht="15.75" thickBot="1" x14ac:dyDescent="0.3">
      <c r="A14" s="28">
        <v>20</v>
      </c>
      <c r="B14" s="29">
        <v>300</v>
      </c>
      <c r="C14" s="30">
        <v>13</v>
      </c>
      <c r="D14" s="31">
        <v>13.3</v>
      </c>
      <c r="E14" s="32"/>
      <c r="F14" s="24">
        <f t="shared" si="0"/>
        <v>13.15</v>
      </c>
      <c r="G14" s="33">
        <f>B4*F14*10^-3</f>
        <v>6.575000000000001E-4</v>
      </c>
      <c r="H14" s="34">
        <f>H13-0.6</f>
        <v>17.485763748752042</v>
      </c>
      <c r="I14" s="26">
        <f t="shared" ref="I14:I17" si="1">(H14*G14)/(0.3)</f>
        <v>3.8322965549348234E-2</v>
      </c>
      <c r="J14" s="27">
        <f>(I12-I14)</f>
        <v>1.2284311270188558E-2</v>
      </c>
      <c r="K14" s="84"/>
    </row>
    <row r="15" spans="1:11" ht="15.75" thickBot="1" x14ac:dyDescent="0.3">
      <c r="A15" s="35">
        <v>30</v>
      </c>
      <c r="B15" s="36">
        <v>300</v>
      </c>
      <c r="C15" s="37">
        <v>11.1</v>
      </c>
      <c r="D15" s="38">
        <v>11.4</v>
      </c>
      <c r="E15" s="39"/>
      <c r="F15" s="24">
        <f t="shared" si="0"/>
        <v>11.25</v>
      </c>
      <c r="G15" s="40">
        <f>B4*F15*10^-3</f>
        <v>5.6250000000000007E-4</v>
      </c>
      <c r="H15" s="41">
        <f>H14-0.6</f>
        <v>16.885763748752041</v>
      </c>
      <c r="I15" s="26">
        <f t="shared" si="1"/>
        <v>3.1660807028910082E-2</v>
      </c>
      <c r="J15" s="27">
        <f>(I12-I15)</f>
        <v>1.894646979062671E-2</v>
      </c>
      <c r="K15" s="84"/>
    </row>
    <row r="16" spans="1:11" ht="15.75" thickBot="1" x14ac:dyDescent="0.3">
      <c r="A16" s="42">
        <v>40</v>
      </c>
      <c r="B16" s="43">
        <v>300</v>
      </c>
      <c r="C16" s="44">
        <v>10.5</v>
      </c>
      <c r="D16" s="45">
        <v>10.6</v>
      </c>
      <c r="F16" s="46">
        <f t="shared" si="0"/>
        <v>10.55</v>
      </c>
      <c r="G16" s="47">
        <f>B4*F16*10^-3</f>
        <v>5.2750000000000008E-4</v>
      </c>
      <c r="H16" s="41">
        <f>H15-0.6</f>
        <v>16.285763748752039</v>
      </c>
      <c r="I16" s="26">
        <f t="shared" si="1"/>
        <v>2.8635801258222338E-2</v>
      </c>
      <c r="J16" s="27">
        <f>(I12-I16)</f>
        <v>2.1971475561314454E-2</v>
      </c>
      <c r="K16" s="84"/>
    </row>
    <row r="17" spans="1:11" ht="15.75" thickBot="1" x14ac:dyDescent="0.3">
      <c r="A17" s="48">
        <v>60</v>
      </c>
      <c r="B17" s="49">
        <v>300</v>
      </c>
      <c r="C17" s="50">
        <v>9.1</v>
      </c>
      <c r="D17" s="51">
        <v>9.3000000000000007</v>
      </c>
      <c r="E17" s="52"/>
      <c r="F17" s="53">
        <f t="shared" si="0"/>
        <v>9.1999999999999993</v>
      </c>
      <c r="G17" s="54">
        <f>B4*F17*10^-3</f>
        <v>4.5999999999999996E-4</v>
      </c>
      <c r="H17" s="41">
        <f>H16-0.6</f>
        <v>15.68576374875204</v>
      </c>
      <c r="I17" s="26">
        <f t="shared" si="1"/>
        <v>2.4051504414753126E-2</v>
      </c>
      <c r="J17" s="27">
        <f>(I12-I17)</f>
        <v>2.6555772404783667E-2</v>
      </c>
      <c r="K17" s="85"/>
    </row>
    <row r="18" spans="1:11" x14ac:dyDescent="0.25">
      <c r="C18" s="72"/>
      <c r="K18" t="s">
        <v>25</v>
      </c>
    </row>
    <row r="20" spans="1:11" ht="15.75" thickBot="1" x14ac:dyDescent="0.3"/>
    <row r="21" spans="1:11" ht="15.75" thickBot="1" x14ac:dyDescent="0.3">
      <c r="A21" s="87" t="s">
        <v>28</v>
      </c>
      <c r="B21" s="88"/>
      <c r="C21" s="88"/>
      <c r="D21" s="88"/>
      <c r="E21" s="88"/>
      <c r="F21" s="88"/>
      <c r="G21" s="88"/>
      <c r="H21" s="88"/>
      <c r="I21" s="88"/>
      <c r="J21" s="88"/>
      <c r="K21" s="89"/>
    </row>
    <row r="22" spans="1:11" ht="15.75" thickBot="1" x14ac:dyDescent="0.3">
      <c r="A22" s="1" t="s">
        <v>0</v>
      </c>
      <c r="B22" s="2">
        <v>0.05</v>
      </c>
      <c r="C22" s="3"/>
      <c r="E22" s="74" t="s">
        <v>29</v>
      </c>
      <c r="F22" s="75"/>
      <c r="G22" s="76"/>
      <c r="J22" s="4" t="s">
        <v>1</v>
      </c>
      <c r="K22" s="5">
        <v>282.45999999999998</v>
      </c>
    </row>
    <row r="23" spans="1:11" x14ac:dyDescent="0.25">
      <c r="A23" s="6" t="s">
        <v>2</v>
      </c>
      <c r="B23" s="7" t="s">
        <v>3</v>
      </c>
      <c r="C23" s="3"/>
      <c r="D23" s="8"/>
      <c r="E23" s="18"/>
      <c r="F23" s="18"/>
      <c r="J23" s="9" t="s">
        <v>4</v>
      </c>
      <c r="K23" s="10">
        <v>0.89500000000000002</v>
      </c>
    </row>
    <row r="24" spans="1:11" x14ac:dyDescent="0.25">
      <c r="A24" s="4" t="s">
        <v>5</v>
      </c>
      <c r="B24" s="11">
        <f>14.1001/K23</f>
        <v>15.754301675977652</v>
      </c>
      <c r="C24" s="3"/>
      <c r="D24" s="8"/>
      <c r="E24" s="55"/>
      <c r="F24" s="55"/>
      <c r="G24" s="3"/>
      <c r="H24" s="3"/>
      <c r="I24" s="3"/>
      <c r="J24" s="12" t="s">
        <v>6</v>
      </c>
      <c r="K24" s="13">
        <v>46.06</v>
      </c>
    </row>
    <row r="25" spans="1:11" ht="15.75" thickBot="1" x14ac:dyDescent="0.3">
      <c r="A25" s="6" t="s">
        <v>7</v>
      </c>
      <c r="B25" s="7">
        <f>2.3064/K25</f>
        <v>2.9231939163498097</v>
      </c>
      <c r="C25" s="3"/>
      <c r="D25" s="8"/>
      <c r="E25" s="3"/>
      <c r="F25" s="3"/>
      <c r="G25" s="3"/>
      <c r="H25" s="3"/>
      <c r="I25" s="3"/>
      <c r="J25" s="4" t="s">
        <v>8</v>
      </c>
      <c r="K25" s="14">
        <v>0.78900000000000003</v>
      </c>
    </row>
    <row r="26" spans="1:11" ht="15.75" thickBot="1" x14ac:dyDescent="0.3">
      <c r="A26" s="15" t="s">
        <v>9</v>
      </c>
      <c r="B26" s="16">
        <v>0.2026</v>
      </c>
      <c r="C26" s="3"/>
      <c r="D26" s="3"/>
      <c r="E26" s="3"/>
      <c r="F26" s="3"/>
      <c r="G26" s="3"/>
      <c r="H26" s="3"/>
      <c r="I26" s="3"/>
      <c r="J26" s="56" t="s">
        <v>10</v>
      </c>
      <c r="K26" s="57">
        <v>1</v>
      </c>
    </row>
    <row r="27" spans="1:11" ht="15.75" thickBot="1" x14ac:dyDescent="0.3">
      <c r="A27" s="3"/>
      <c r="B27" s="3"/>
      <c r="C27" s="77" t="s">
        <v>11</v>
      </c>
      <c r="D27" s="78"/>
      <c r="E27" s="78"/>
      <c r="F27" s="79"/>
      <c r="G27" s="3"/>
      <c r="H27" s="17" t="s">
        <v>12</v>
      </c>
      <c r="I27" s="3"/>
      <c r="J27" s="3"/>
      <c r="K27" s="3"/>
    </row>
    <row r="28" spans="1:11" ht="15.75" thickBot="1" x14ac:dyDescent="0.3">
      <c r="A28" s="18"/>
      <c r="B28" s="18"/>
      <c r="C28" s="80" t="s">
        <v>26</v>
      </c>
      <c r="D28" s="81"/>
      <c r="E28" s="81"/>
      <c r="F28" s="82"/>
      <c r="G28" s="56" t="s">
        <v>14</v>
      </c>
      <c r="H28" s="59" t="s">
        <v>15</v>
      </c>
      <c r="I28" s="60" t="s">
        <v>25</v>
      </c>
      <c r="J28" s="3"/>
      <c r="K28" s="3"/>
    </row>
    <row r="29" spans="1:11" ht="18.75" thickBot="1" x14ac:dyDescent="0.3">
      <c r="A29" s="61" t="s">
        <v>16</v>
      </c>
      <c r="B29" s="62" t="s">
        <v>17</v>
      </c>
      <c r="C29" s="61" t="s">
        <v>18</v>
      </c>
      <c r="D29" s="63" t="s">
        <v>19</v>
      </c>
      <c r="E29" s="64"/>
      <c r="F29" s="65" t="s">
        <v>20</v>
      </c>
      <c r="G29" s="66" t="s">
        <v>21</v>
      </c>
      <c r="H29" s="65" t="s">
        <v>22</v>
      </c>
      <c r="I29" s="65" t="s">
        <v>23</v>
      </c>
      <c r="J29" s="66" t="s">
        <v>24</v>
      </c>
      <c r="K29" s="68" t="s">
        <v>33</v>
      </c>
    </row>
    <row r="30" spans="1:11" ht="15.75" thickBot="1" x14ac:dyDescent="0.3">
      <c r="A30" s="19">
        <v>0</v>
      </c>
      <c r="B30" s="20">
        <v>300</v>
      </c>
      <c r="C30" s="21">
        <v>16.2</v>
      </c>
      <c r="D30" s="22">
        <v>16</v>
      </c>
      <c r="E30" s="23"/>
      <c r="F30" s="24">
        <f t="shared" ref="F30:F35" si="2">AVERAGE(C30:D30)</f>
        <v>16.100000000000001</v>
      </c>
      <c r="G30" s="25">
        <f>B22*F30*10^-3</f>
        <v>8.0500000000000016E-4</v>
      </c>
      <c r="H30" s="26">
        <f>B24+B25</f>
        <v>18.67749559232746</v>
      </c>
      <c r="I30" s="26">
        <f t="shared" ref="I30:I35" si="3">(H30*G30)/(0.3)</f>
        <v>5.0117946506078696E-2</v>
      </c>
      <c r="J30" s="67">
        <v>0</v>
      </c>
      <c r="K30" s="83">
        <f>(0.000499370216/B26)*1000000</f>
        <v>2464.8085686080944</v>
      </c>
    </row>
    <row r="31" spans="1:11" ht="15.75" thickBot="1" x14ac:dyDescent="0.3">
      <c r="A31" s="28">
        <v>10</v>
      </c>
      <c r="B31" s="29">
        <v>300</v>
      </c>
      <c r="C31" s="30">
        <v>14.2</v>
      </c>
      <c r="D31" s="31">
        <v>14.5</v>
      </c>
      <c r="E31" s="32"/>
      <c r="F31" s="24">
        <f t="shared" si="2"/>
        <v>14.35</v>
      </c>
      <c r="G31" s="33">
        <f>B22*F31*10^-3</f>
        <v>7.1750000000000004E-4</v>
      </c>
      <c r="H31" s="34">
        <f>H30-0.6</f>
        <v>18.077495592327459</v>
      </c>
      <c r="I31" s="26">
        <f t="shared" si="3"/>
        <v>4.3235343624983179E-2</v>
      </c>
      <c r="J31" s="67">
        <f>(I30-I31)</f>
        <v>6.8826028810955175E-3</v>
      </c>
      <c r="K31" s="84"/>
    </row>
    <row r="32" spans="1:11" ht="15.75" thickBot="1" x14ac:dyDescent="0.3">
      <c r="A32" s="28">
        <v>20</v>
      </c>
      <c r="B32" s="29">
        <v>300</v>
      </c>
      <c r="C32" s="30">
        <v>12.4</v>
      </c>
      <c r="D32" s="31">
        <v>12.9</v>
      </c>
      <c r="E32" s="32"/>
      <c r="F32" s="24">
        <f t="shared" si="2"/>
        <v>12.65</v>
      </c>
      <c r="G32" s="33">
        <f>B22*F32*10^-3</f>
        <v>6.3250000000000003E-4</v>
      </c>
      <c r="H32" s="34">
        <f>H31-0.6</f>
        <v>17.477495592327458</v>
      </c>
      <c r="I32" s="26">
        <f t="shared" si="3"/>
        <v>3.6848386540490392E-2</v>
      </c>
      <c r="J32" s="67">
        <f>(I30-I32)</f>
        <v>1.3269559965588304E-2</v>
      </c>
      <c r="K32" s="84"/>
    </row>
    <row r="33" spans="1:11" ht="15.75" thickBot="1" x14ac:dyDescent="0.3">
      <c r="A33" s="35">
        <v>30</v>
      </c>
      <c r="B33" s="36">
        <v>300</v>
      </c>
      <c r="C33" s="37">
        <v>11</v>
      </c>
      <c r="D33" s="38">
        <v>11.3</v>
      </c>
      <c r="E33" s="39"/>
      <c r="F33" s="24">
        <f t="shared" si="2"/>
        <v>11.15</v>
      </c>
      <c r="G33" s="40">
        <f>B22*F33*10^-3</f>
        <v>5.5750000000000005E-4</v>
      </c>
      <c r="H33" s="41">
        <f>H32-0.6</f>
        <v>16.877495592327456</v>
      </c>
      <c r="I33" s="26">
        <f t="shared" si="3"/>
        <v>3.1364012642408526E-2</v>
      </c>
      <c r="J33" s="67">
        <f>(I30-I33)</f>
        <v>1.8753933863670171E-2</v>
      </c>
      <c r="K33" s="84"/>
    </row>
    <row r="34" spans="1:11" ht="15.75" thickBot="1" x14ac:dyDescent="0.3">
      <c r="A34" s="42">
        <v>40</v>
      </c>
      <c r="B34" s="43">
        <v>300</v>
      </c>
      <c r="C34" s="44">
        <v>10.55</v>
      </c>
      <c r="D34" s="45">
        <v>10.4</v>
      </c>
      <c r="F34" s="46">
        <f t="shared" si="2"/>
        <v>10.475000000000001</v>
      </c>
      <c r="G34" s="47">
        <f>B22*F34*10^-3</f>
        <v>5.2375000000000002E-4</v>
      </c>
      <c r="H34" s="41">
        <f>H33-0.6</f>
        <v>16.277495592327455</v>
      </c>
      <c r="I34" s="26">
        <f t="shared" si="3"/>
        <v>2.8417794388271682E-2</v>
      </c>
      <c r="J34" s="67">
        <f>(I30-I34)</f>
        <v>2.1700152117807014E-2</v>
      </c>
      <c r="K34" s="84"/>
    </row>
    <row r="35" spans="1:11" ht="15.75" thickBot="1" x14ac:dyDescent="0.3">
      <c r="A35" s="48">
        <v>60</v>
      </c>
      <c r="B35" s="49">
        <v>300</v>
      </c>
      <c r="C35" s="50">
        <v>9.1999999999999993</v>
      </c>
      <c r="D35" s="51">
        <v>8.8000000000000007</v>
      </c>
      <c r="E35" s="52"/>
      <c r="F35" s="53">
        <f t="shared" si="2"/>
        <v>9</v>
      </c>
      <c r="G35" s="54">
        <f>B22*F35*10^-3</f>
        <v>4.5000000000000004E-4</v>
      </c>
      <c r="H35" s="41">
        <f>H34-0.6</f>
        <v>15.677495592327455</v>
      </c>
      <c r="I35" s="26">
        <f t="shared" si="3"/>
        <v>2.3516243388491186E-2</v>
      </c>
      <c r="J35" s="67">
        <f>(I30-I35)</f>
        <v>2.660170311758751E-2</v>
      </c>
      <c r="K35" s="85"/>
    </row>
  </sheetData>
  <mergeCells count="11">
    <mergeCell ref="K12:K17"/>
    <mergeCell ref="B1:D1"/>
    <mergeCell ref="A3:K3"/>
    <mergeCell ref="E4:G4"/>
    <mergeCell ref="C9:F9"/>
    <mergeCell ref="C10:F10"/>
    <mergeCell ref="A21:K21"/>
    <mergeCell ref="E22:G22"/>
    <mergeCell ref="C27:F27"/>
    <mergeCell ref="C28:F28"/>
    <mergeCell ref="K30:K3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9A73-5CD5-4F21-9A59-B288153986D3}">
  <dimension ref="A1:K35"/>
  <sheetViews>
    <sheetView topLeftCell="A8" zoomScale="70" zoomScaleNormal="70" workbookViewId="0">
      <selection activeCell="I24" sqref="I24"/>
    </sheetView>
  </sheetViews>
  <sheetFormatPr defaultRowHeight="15" x14ac:dyDescent="0.25"/>
  <cols>
    <col min="1" max="1" width="14.42578125" bestFit="1" customWidth="1"/>
    <col min="2" max="2" width="12.42578125" bestFit="1" customWidth="1"/>
    <col min="3" max="4" width="9.85546875" bestFit="1" customWidth="1"/>
    <col min="5" max="5" width="12" bestFit="1" customWidth="1"/>
    <col min="6" max="6" width="11.140625" bestFit="1" customWidth="1"/>
    <col min="7" max="7" width="34.28515625" bestFit="1" customWidth="1"/>
    <col min="8" max="8" width="24.140625" bestFit="1" customWidth="1"/>
    <col min="9" max="9" width="39.7109375" bestFit="1" customWidth="1"/>
    <col min="10" max="10" width="20.42578125" bestFit="1" customWidth="1"/>
    <col min="11" max="11" width="18.42578125" bestFit="1" customWidth="1"/>
  </cols>
  <sheetData>
    <row r="1" spans="1:11" x14ac:dyDescent="0.25">
      <c r="B1" s="96" t="s">
        <v>35</v>
      </c>
      <c r="C1" s="96"/>
      <c r="D1" s="96"/>
      <c r="E1" s="73">
        <v>2096.9536586307149</v>
      </c>
    </row>
    <row r="2" spans="1:11" ht="15.75" thickBot="1" x14ac:dyDescent="0.3"/>
    <row r="3" spans="1:11" ht="15.75" thickBot="1" x14ac:dyDescent="0.3">
      <c r="A3" s="87" t="s">
        <v>27</v>
      </c>
      <c r="B3" s="88"/>
      <c r="C3" s="88"/>
      <c r="D3" s="88"/>
      <c r="E3" s="88"/>
      <c r="F3" s="88"/>
      <c r="G3" s="88"/>
      <c r="H3" s="88"/>
      <c r="I3" s="88"/>
      <c r="J3" s="88"/>
      <c r="K3" s="89"/>
    </row>
    <row r="4" spans="1:11" ht="15.75" thickBot="1" x14ac:dyDescent="0.3">
      <c r="A4" s="1" t="s">
        <v>0</v>
      </c>
      <c r="B4" s="2">
        <v>0.05</v>
      </c>
      <c r="C4" s="3"/>
      <c r="E4" s="74" t="s">
        <v>29</v>
      </c>
      <c r="F4" s="75"/>
      <c r="G4" s="76"/>
      <c r="J4" s="4" t="s">
        <v>1</v>
      </c>
      <c r="K4" s="5">
        <v>282.45999999999998</v>
      </c>
    </row>
    <row r="5" spans="1:11" x14ac:dyDescent="0.25">
      <c r="A5" s="6" t="s">
        <v>2</v>
      </c>
      <c r="B5" s="7" t="s">
        <v>3</v>
      </c>
      <c r="C5" s="3"/>
      <c r="D5" s="8"/>
      <c r="E5" s="18"/>
      <c r="F5" s="18"/>
      <c r="J5" s="9" t="s">
        <v>4</v>
      </c>
      <c r="K5" s="10">
        <v>0.89500000000000002</v>
      </c>
    </row>
    <row r="6" spans="1:11" x14ac:dyDescent="0.25">
      <c r="A6" s="4" t="s">
        <v>5</v>
      </c>
      <c r="B6" s="11">
        <f>14.123/K5</f>
        <v>15.779888268156423</v>
      </c>
      <c r="C6" s="3"/>
      <c r="D6" s="8"/>
      <c r="E6" s="55"/>
      <c r="F6" s="55"/>
      <c r="G6" s="3"/>
      <c r="H6" s="3"/>
      <c r="I6" s="3"/>
      <c r="J6" s="12" t="s">
        <v>6</v>
      </c>
      <c r="K6" s="13">
        <v>46.06</v>
      </c>
    </row>
    <row r="7" spans="1:11" ht="15.75" thickBot="1" x14ac:dyDescent="0.3">
      <c r="A7" s="6" t="s">
        <v>7</v>
      </c>
      <c r="B7" s="7">
        <f>2.313/K7</f>
        <v>2.9315589353612168</v>
      </c>
      <c r="C7" s="3"/>
      <c r="D7" s="8"/>
      <c r="E7" s="3"/>
      <c r="F7" s="3"/>
      <c r="G7" s="3"/>
      <c r="H7" s="3"/>
      <c r="I7" s="3"/>
      <c r="J7" s="4" t="s">
        <v>8</v>
      </c>
      <c r="K7" s="14">
        <v>0.78900000000000003</v>
      </c>
    </row>
    <row r="8" spans="1:11" ht="15.75" thickBot="1" x14ac:dyDescent="0.3">
      <c r="A8" s="15" t="s">
        <v>9</v>
      </c>
      <c r="B8" s="16">
        <v>0.20399999999999999</v>
      </c>
      <c r="C8" s="3"/>
      <c r="D8" s="3"/>
      <c r="E8" s="3"/>
      <c r="F8" s="3"/>
      <c r="G8" s="3"/>
      <c r="H8" s="3"/>
      <c r="I8" s="3"/>
      <c r="J8" s="56" t="s">
        <v>10</v>
      </c>
      <c r="K8" s="57">
        <v>1</v>
      </c>
    </row>
    <row r="9" spans="1:11" ht="15.75" thickBot="1" x14ac:dyDescent="0.3">
      <c r="A9" s="3"/>
      <c r="B9" s="3"/>
      <c r="C9" s="90" t="s">
        <v>11</v>
      </c>
      <c r="D9" s="91"/>
      <c r="E9" s="91"/>
      <c r="F9" s="92"/>
      <c r="G9" s="3"/>
      <c r="H9" s="58" t="s">
        <v>12</v>
      </c>
      <c r="I9" s="3"/>
      <c r="J9" s="3"/>
      <c r="K9" s="3"/>
    </row>
    <row r="10" spans="1:11" ht="15.75" thickBot="1" x14ac:dyDescent="0.3">
      <c r="A10" s="18"/>
      <c r="B10" s="18"/>
      <c r="C10" s="93" t="s">
        <v>13</v>
      </c>
      <c r="D10" s="94"/>
      <c r="E10" s="94"/>
      <c r="F10" s="95"/>
      <c r="G10" s="56" t="s">
        <v>14</v>
      </c>
      <c r="H10" s="59" t="s">
        <v>15</v>
      </c>
      <c r="I10" s="60"/>
      <c r="J10" s="3"/>
      <c r="K10" s="3"/>
    </row>
    <row r="11" spans="1:11" ht="18.75" thickBot="1" x14ac:dyDescent="0.3">
      <c r="A11" s="61" t="s">
        <v>16</v>
      </c>
      <c r="B11" s="62" t="s">
        <v>17</v>
      </c>
      <c r="C11" s="61" t="s">
        <v>18</v>
      </c>
      <c r="D11" s="63" t="s">
        <v>19</v>
      </c>
      <c r="E11" s="64"/>
      <c r="F11" s="65" t="s">
        <v>20</v>
      </c>
      <c r="G11" s="66" t="s">
        <v>21</v>
      </c>
      <c r="H11" s="65" t="s">
        <v>22</v>
      </c>
      <c r="I11" s="65" t="s">
        <v>23</v>
      </c>
      <c r="J11" s="66" t="s">
        <v>24</v>
      </c>
      <c r="K11" s="65" t="s">
        <v>33</v>
      </c>
    </row>
    <row r="12" spans="1:11" ht="15.75" thickBot="1" x14ac:dyDescent="0.3">
      <c r="A12" s="19">
        <v>0</v>
      </c>
      <c r="B12" s="20">
        <v>300</v>
      </c>
      <c r="C12" s="21">
        <v>15.3</v>
      </c>
      <c r="D12" s="22">
        <v>15.6</v>
      </c>
      <c r="E12" s="23"/>
      <c r="F12" s="24">
        <f t="shared" ref="F12:F17" si="0">AVERAGE(C12:D12)</f>
        <v>15.45</v>
      </c>
      <c r="G12" s="25">
        <f>B4*F12*10^-3</f>
        <v>7.7249999999999997E-4</v>
      </c>
      <c r="H12" s="26">
        <f>B6+B7</f>
        <v>18.71144720351764</v>
      </c>
      <c r="I12" s="27">
        <f>(H12*G12)/(0.3)</f>
        <v>4.8181976549057919E-2</v>
      </c>
      <c r="J12" s="27">
        <v>0</v>
      </c>
      <c r="K12" s="83">
        <f>(0.000133114291/B8)*1000000</f>
        <v>652.52103431372541</v>
      </c>
    </row>
    <row r="13" spans="1:11" ht="15.75" thickBot="1" x14ac:dyDescent="0.3">
      <c r="A13" s="28">
        <v>10</v>
      </c>
      <c r="B13" s="29">
        <v>300</v>
      </c>
      <c r="C13" s="30">
        <v>16</v>
      </c>
      <c r="D13" s="31">
        <v>15.9</v>
      </c>
      <c r="E13" s="32"/>
      <c r="F13" s="24"/>
      <c r="G13" s="33">
        <f>B4*F13*10^-3</f>
        <v>0</v>
      </c>
      <c r="H13" s="34">
        <f>H12-0.6</f>
        <v>18.111447203517638</v>
      </c>
      <c r="I13" s="27">
        <f>(H13*G13)/(0.3)</f>
        <v>0</v>
      </c>
      <c r="J13" s="27">
        <f>(I12-I13)</f>
        <v>4.8181976549057919E-2</v>
      </c>
      <c r="K13" s="84"/>
    </row>
    <row r="14" spans="1:11" ht="15.75" thickBot="1" x14ac:dyDescent="0.3">
      <c r="A14" s="28">
        <v>20</v>
      </c>
      <c r="B14" s="29">
        <v>300</v>
      </c>
      <c r="C14" s="30">
        <v>15.8</v>
      </c>
      <c r="D14" s="31">
        <v>15.7</v>
      </c>
      <c r="E14" s="32"/>
      <c r="F14" s="24"/>
      <c r="G14" s="33">
        <f>B4*F14*10^-3</f>
        <v>0</v>
      </c>
      <c r="H14" s="34">
        <f>H13-0.6</f>
        <v>17.511447203517637</v>
      </c>
      <c r="I14" s="26">
        <f t="shared" ref="I14:I17" si="1">(H14*G14)/(0.3)</f>
        <v>0</v>
      </c>
      <c r="J14" s="27">
        <f>(I12-I14)</f>
        <v>4.8181976549057919E-2</v>
      </c>
      <c r="K14" s="84"/>
    </row>
    <row r="15" spans="1:11" ht="15.75" thickBot="1" x14ac:dyDescent="0.3">
      <c r="A15" s="35">
        <v>30</v>
      </c>
      <c r="B15" s="36">
        <v>300</v>
      </c>
      <c r="C15" s="37">
        <v>15.2</v>
      </c>
      <c r="D15" s="38">
        <v>15.4</v>
      </c>
      <c r="E15" s="39"/>
      <c r="F15" s="24"/>
      <c r="G15" s="40">
        <f>B4*F15*10^-3</f>
        <v>0</v>
      </c>
      <c r="H15" s="41">
        <f>H14-0.6</f>
        <v>16.911447203517636</v>
      </c>
      <c r="I15" s="26">
        <f t="shared" si="1"/>
        <v>0</v>
      </c>
      <c r="J15" s="27">
        <f>(I12-I15)</f>
        <v>4.8181976549057919E-2</v>
      </c>
      <c r="K15" s="84"/>
    </row>
    <row r="16" spans="1:11" ht="15.75" thickBot="1" x14ac:dyDescent="0.3">
      <c r="A16" s="42">
        <v>40</v>
      </c>
      <c r="B16" s="43">
        <v>300</v>
      </c>
      <c r="C16" s="44">
        <v>15.2</v>
      </c>
      <c r="D16" s="45">
        <v>16</v>
      </c>
      <c r="F16" s="46"/>
      <c r="G16" s="47">
        <f>B4*F16*10^-3</f>
        <v>0</v>
      </c>
      <c r="H16" s="41">
        <f>H15-0.6</f>
        <v>16.311447203517634</v>
      </c>
      <c r="I16" s="26">
        <f t="shared" si="1"/>
        <v>0</v>
      </c>
      <c r="J16" s="27">
        <f>(I12-I16)</f>
        <v>4.8181976549057919E-2</v>
      </c>
      <c r="K16" s="84"/>
    </row>
    <row r="17" spans="1:11" ht="15.75" thickBot="1" x14ac:dyDescent="0.3">
      <c r="A17" s="48">
        <v>60</v>
      </c>
      <c r="B17" s="49">
        <v>300</v>
      </c>
      <c r="C17" s="50">
        <v>15.5</v>
      </c>
      <c r="D17" s="51">
        <v>15.2</v>
      </c>
      <c r="E17" s="52"/>
      <c r="F17" s="53">
        <f t="shared" si="0"/>
        <v>15.35</v>
      </c>
      <c r="G17" s="54">
        <f>B4*F17*10^-3</f>
        <v>7.6750000000000006E-4</v>
      </c>
      <c r="H17" s="41">
        <f>H16-0.6</f>
        <v>15.711447203517634</v>
      </c>
      <c r="I17" s="26">
        <f t="shared" si="1"/>
        <v>4.0195119095665949E-2</v>
      </c>
      <c r="J17" s="27">
        <f>(I12-I17)</f>
        <v>7.9868574533919698E-3</v>
      </c>
      <c r="K17" s="85"/>
    </row>
    <row r="18" spans="1:11" x14ac:dyDescent="0.25">
      <c r="C18" s="72"/>
      <c r="K18" t="s">
        <v>25</v>
      </c>
    </row>
    <row r="20" spans="1:11" ht="15.75" thickBot="1" x14ac:dyDescent="0.3"/>
    <row r="21" spans="1:11" ht="15.75" thickBot="1" x14ac:dyDescent="0.3">
      <c r="A21" s="87" t="s">
        <v>28</v>
      </c>
      <c r="B21" s="88"/>
      <c r="C21" s="88"/>
      <c r="D21" s="88"/>
      <c r="E21" s="88"/>
      <c r="F21" s="88"/>
      <c r="G21" s="88"/>
      <c r="H21" s="88"/>
      <c r="I21" s="88"/>
      <c r="J21" s="88"/>
      <c r="K21" s="89"/>
    </row>
    <row r="22" spans="1:11" ht="15.75" thickBot="1" x14ac:dyDescent="0.3">
      <c r="A22" s="1" t="s">
        <v>0</v>
      </c>
      <c r="B22" s="2">
        <v>0.05</v>
      </c>
      <c r="C22" s="3"/>
      <c r="E22" s="74" t="s">
        <v>29</v>
      </c>
      <c r="F22" s="75"/>
      <c r="G22" s="76"/>
      <c r="J22" s="4" t="s">
        <v>1</v>
      </c>
      <c r="K22" s="5">
        <v>282.45999999999998</v>
      </c>
    </row>
    <row r="23" spans="1:11" x14ac:dyDescent="0.25">
      <c r="A23" s="6" t="s">
        <v>2</v>
      </c>
      <c r="B23" s="7" t="s">
        <v>3</v>
      </c>
      <c r="C23" s="3"/>
      <c r="D23" s="8"/>
      <c r="E23" s="18"/>
      <c r="F23" s="18"/>
      <c r="J23" s="9" t="s">
        <v>4</v>
      </c>
      <c r="K23" s="10">
        <v>0.89500000000000002</v>
      </c>
    </row>
    <row r="24" spans="1:11" x14ac:dyDescent="0.25">
      <c r="A24" s="4" t="s">
        <v>5</v>
      </c>
      <c r="B24" s="11">
        <f>14.103/K23</f>
        <v>15.757541899441341</v>
      </c>
      <c r="C24" s="3"/>
      <c r="D24" s="8"/>
      <c r="E24" s="55"/>
      <c r="F24" s="55"/>
      <c r="G24" s="3"/>
      <c r="H24" s="3"/>
      <c r="I24" s="3"/>
      <c r="J24" s="12" t="s">
        <v>6</v>
      </c>
      <c r="K24" s="13">
        <v>46.06</v>
      </c>
    </row>
    <row r="25" spans="1:11" ht="15.75" thickBot="1" x14ac:dyDescent="0.3">
      <c r="A25" s="6" t="s">
        <v>7</v>
      </c>
      <c r="B25" s="7">
        <f>2.315/K25</f>
        <v>2.9340937896070973</v>
      </c>
      <c r="C25" s="3"/>
      <c r="D25" s="8"/>
      <c r="E25" s="3"/>
      <c r="F25" s="3"/>
      <c r="G25" s="3"/>
      <c r="H25" s="3"/>
      <c r="I25" s="3"/>
      <c r="J25" s="4" t="s">
        <v>8</v>
      </c>
      <c r="K25" s="14">
        <v>0.78900000000000003</v>
      </c>
    </row>
    <row r="26" spans="1:11" ht="15.75" thickBot="1" x14ac:dyDescent="0.3">
      <c r="A26" s="15" t="s">
        <v>9</v>
      </c>
      <c r="B26" s="16">
        <v>0.20200000000000001</v>
      </c>
      <c r="C26" s="3"/>
      <c r="D26" s="3"/>
      <c r="E26" s="3"/>
      <c r="F26" s="3"/>
      <c r="G26" s="3"/>
      <c r="H26" s="3"/>
      <c r="I26" s="3"/>
      <c r="J26" s="56" t="s">
        <v>10</v>
      </c>
      <c r="K26" s="57">
        <v>1</v>
      </c>
    </row>
    <row r="27" spans="1:11" ht="15.75" thickBot="1" x14ac:dyDescent="0.3">
      <c r="A27" s="3"/>
      <c r="B27" s="3"/>
      <c r="C27" s="77" t="s">
        <v>11</v>
      </c>
      <c r="D27" s="78"/>
      <c r="E27" s="78"/>
      <c r="F27" s="79"/>
      <c r="G27" s="3"/>
      <c r="H27" s="17" t="s">
        <v>12</v>
      </c>
      <c r="I27" s="3"/>
      <c r="J27" s="3"/>
      <c r="K27" s="3"/>
    </row>
    <row r="28" spans="1:11" ht="15.75" thickBot="1" x14ac:dyDescent="0.3">
      <c r="A28" s="18"/>
      <c r="B28" s="18"/>
      <c r="C28" s="80" t="s">
        <v>26</v>
      </c>
      <c r="D28" s="81"/>
      <c r="E28" s="81"/>
      <c r="F28" s="82"/>
      <c r="G28" s="56" t="s">
        <v>14</v>
      </c>
      <c r="H28" s="59" t="s">
        <v>15</v>
      </c>
      <c r="I28" s="60" t="s">
        <v>25</v>
      </c>
      <c r="J28" s="3"/>
      <c r="K28" s="3"/>
    </row>
    <row r="29" spans="1:11" ht="18.75" thickBot="1" x14ac:dyDescent="0.3">
      <c r="A29" s="61" t="s">
        <v>16</v>
      </c>
      <c r="B29" s="62" t="s">
        <v>17</v>
      </c>
      <c r="C29" s="61" t="s">
        <v>18</v>
      </c>
      <c r="D29" s="63" t="s">
        <v>19</v>
      </c>
      <c r="E29" s="64"/>
      <c r="F29" s="65" t="s">
        <v>20</v>
      </c>
      <c r="G29" s="66" t="s">
        <v>21</v>
      </c>
      <c r="H29" s="65" t="s">
        <v>22</v>
      </c>
      <c r="I29" s="65" t="s">
        <v>23</v>
      </c>
      <c r="J29" s="66" t="s">
        <v>24</v>
      </c>
      <c r="K29" s="68" t="s">
        <v>33</v>
      </c>
    </row>
    <row r="30" spans="1:11" ht="15.75" thickBot="1" x14ac:dyDescent="0.3">
      <c r="A30" s="19">
        <v>0</v>
      </c>
      <c r="B30" s="20">
        <v>300</v>
      </c>
      <c r="C30" s="21">
        <v>15.9</v>
      </c>
      <c r="D30" s="22">
        <v>15.7</v>
      </c>
      <c r="E30" s="23"/>
      <c r="F30" s="24">
        <f t="shared" ref="F30:F35" si="2">AVERAGE(C30:D30)</f>
        <v>15.8</v>
      </c>
      <c r="G30" s="25">
        <f>B22*F30*10^-3</f>
        <v>7.9000000000000001E-4</v>
      </c>
      <c r="H30" s="26">
        <f>B24+B25</f>
        <v>18.691635689048439</v>
      </c>
      <c r="I30" s="26">
        <f t="shared" ref="I30:I35" si="3">(H30*G30)/(0.3)</f>
        <v>4.9221307314494228E-2</v>
      </c>
      <c r="J30" s="67">
        <v>0</v>
      </c>
      <c r="K30" s="83">
        <f>(0.000153460605/B26)*1000000</f>
        <v>759.70596534653464</v>
      </c>
    </row>
    <row r="31" spans="1:11" ht="15.75" thickBot="1" x14ac:dyDescent="0.3">
      <c r="A31" s="28">
        <v>10</v>
      </c>
      <c r="B31" s="29">
        <v>300</v>
      </c>
      <c r="C31" s="30">
        <v>15.3</v>
      </c>
      <c r="D31" s="31">
        <v>15.5</v>
      </c>
      <c r="E31" s="32"/>
      <c r="F31" s="24">
        <f t="shared" si="2"/>
        <v>15.4</v>
      </c>
      <c r="G31" s="33">
        <f>B22*F31*10^-3</f>
        <v>7.7000000000000007E-4</v>
      </c>
      <c r="H31" s="34">
        <f>H30-0.6</f>
        <v>18.091635689048438</v>
      </c>
      <c r="I31" s="26">
        <f t="shared" si="3"/>
        <v>4.6435198268557659E-2</v>
      </c>
      <c r="J31" s="67">
        <f>(I30-I31)</f>
        <v>2.7861090459365689E-3</v>
      </c>
      <c r="K31" s="84"/>
    </row>
    <row r="32" spans="1:11" ht="15.75" thickBot="1" x14ac:dyDescent="0.3">
      <c r="A32" s="28">
        <v>20</v>
      </c>
      <c r="B32" s="29">
        <v>300</v>
      </c>
      <c r="C32" s="30">
        <v>15.1</v>
      </c>
      <c r="D32" s="31">
        <v>15.3</v>
      </c>
      <c r="E32" s="32"/>
      <c r="F32" s="24">
        <f t="shared" si="2"/>
        <v>15.2</v>
      </c>
      <c r="G32" s="33">
        <f>B22*F32*10^-3</f>
        <v>7.6000000000000004E-4</v>
      </c>
      <c r="H32" s="34">
        <f>H31-0.6</f>
        <v>17.491635689048437</v>
      </c>
      <c r="I32" s="26">
        <f t="shared" si="3"/>
        <v>4.431214374558938E-2</v>
      </c>
      <c r="J32" s="67">
        <f>(I30-I32)</f>
        <v>4.909163568904848E-3</v>
      </c>
      <c r="K32" s="84"/>
    </row>
    <row r="33" spans="1:11" ht="15.75" thickBot="1" x14ac:dyDescent="0.3">
      <c r="A33" s="35">
        <v>30</v>
      </c>
      <c r="B33" s="36">
        <v>300</v>
      </c>
      <c r="C33" s="37">
        <v>15</v>
      </c>
      <c r="D33" s="38">
        <v>15.2</v>
      </c>
      <c r="E33" s="39"/>
      <c r="F33" s="24">
        <f t="shared" si="2"/>
        <v>15.1</v>
      </c>
      <c r="G33" s="40">
        <f>B22*F33*10^-3</f>
        <v>7.5500000000000003E-4</v>
      </c>
      <c r="H33" s="41">
        <f>H32-0.6</f>
        <v>16.891635689048435</v>
      </c>
      <c r="I33" s="26">
        <f t="shared" si="3"/>
        <v>4.2510616484105229E-2</v>
      </c>
      <c r="J33" s="67">
        <f>(I30-I33)</f>
        <v>6.7106908303889989E-3</v>
      </c>
      <c r="K33" s="84"/>
    </row>
    <row r="34" spans="1:11" ht="15.75" thickBot="1" x14ac:dyDescent="0.3">
      <c r="A34" s="42">
        <v>40</v>
      </c>
      <c r="B34" s="43">
        <v>300</v>
      </c>
      <c r="C34" s="44">
        <v>15.2</v>
      </c>
      <c r="D34" s="45">
        <v>15.3</v>
      </c>
      <c r="F34" s="46">
        <f t="shared" si="2"/>
        <v>15.25</v>
      </c>
      <c r="G34" s="47">
        <f>B22*F34*10^-3</f>
        <v>7.6250000000000005E-4</v>
      </c>
      <c r="H34" s="41">
        <f>H33-0.6</f>
        <v>16.291635689048434</v>
      </c>
      <c r="I34" s="26">
        <f t="shared" si="3"/>
        <v>4.1407907376331439E-2</v>
      </c>
      <c r="J34" s="67">
        <f>(I30-I34)</f>
        <v>7.8133999381627892E-3</v>
      </c>
      <c r="K34" s="84"/>
    </row>
    <row r="35" spans="1:11" ht="15.75" thickBot="1" x14ac:dyDescent="0.3">
      <c r="A35" s="48">
        <v>60</v>
      </c>
      <c r="B35" s="49">
        <v>300</v>
      </c>
      <c r="C35" s="50">
        <v>15.2</v>
      </c>
      <c r="D35" s="51">
        <v>15.4</v>
      </c>
      <c r="E35" s="52"/>
      <c r="F35" s="53">
        <f t="shared" si="2"/>
        <v>15.3</v>
      </c>
      <c r="G35" s="54">
        <f>B22*F35*10^-3</f>
        <v>7.6500000000000016E-4</v>
      </c>
      <c r="H35" s="41">
        <f>H34-0.6</f>
        <v>15.691635689048434</v>
      </c>
      <c r="I35" s="26">
        <f t="shared" si="3"/>
        <v>4.0013671007073516E-2</v>
      </c>
      <c r="J35" s="67">
        <f>(I30-I35)</f>
        <v>9.2076363074207121E-3</v>
      </c>
      <c r="K35" s="85"/>
    </row>
  </sheetData>
  <mergeCells count="11">
    <mergeCell ref="K12:K17"/>
    <mergeCell ref="B1:D1"/>
    <mergeCell ref="A3:K3"/>
    <mergeCell ref="E4:G4"/>
    <mergeCell ref="C9:F9"/>
    <mergeCell ref="C10:F10"/>
    <mergeCell ref="A21:K21"/>
    <mergeCell ref="E22:G22"/>
    <mergeCell ref="C27:F27"/>
    <mergeCell ref="C28:F28"/>
    <mergeCell ref="K30:K3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8A50-58FB-4CD1-B4E0-79D5281EA7EA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Estabilidade Patauá Oil 50ºC</vt:lpstr>
      <vt:lpstr>Estabilidade Patauá Oil 66.8 ºC</vt:lpstr>
      <vt:lpstr>Estabilidade C10 66.8 ºC (3)</vt:lpstr>
      <vt:lpstr>Estabilidade C10 66.8 ºC (rept)</vt:lpstr>
      <vt:lpstr>após reuso MLM</vt:lpstr>
      <vt:lpstr>Estabilidade C4  50 ºC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Francisco</dc:creator>
  <cp:lastModifiedBy>João Francisco Cabral do Nascimento</cp:lastModifiedBy>
  <dcterms:created xsi:type="dcterms:W3CDTF">2022-04-26T11:58:15Z</dcterms:created>
  <dcterms:modified xsi:type="dcterms:W3CDTF">2025-08-05T17:45:32Z</dcterms:modified>
</cp:coreProperties>
</file>