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gos\OneDrive\Documentos\UNESP\Doutorado\Tese\Banco de dados\Tabelas de referência\IQIT\"/>
    </mc:Choice>
  </mc:AlternateContent>
  <xr:revisionPtr revIDLastSave="0" documentId="13_ncr:1_{4E4D73A4-8214-4C8D-884E-3F9B3FCADC17}" xr6:coauthVersionLast="47" xr6:coauthVersionMax="47" xr10:uidLastSave="{00000000-0000-0000-0000-000000000000}"/>
  <bookViews>
    <workbookView xWindow="-108" yWindow="-108" windowWidth="23256" windowHeight="12456" xr2:uid="{6FC2561B-D384-4C72-A94F-EB95BAD7DBFF}"/>
  </bookViews>
  <sheets>
    <sheet name="Planilha base" sheetId="1" r:id="rId1"/>
  </sheets>
  <definedNames>
    <definedName name="_xlnm._FilterDatabase" localSheetId="0" hidden="1">'Planilha base'!$A$1:$BC$1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4" i="1" l="1"/>
  <c r="BA86" i="1"/>
  <c r="BA93" i="1"/>
  <c r="BA92" i="1"/>
  <c r="BA45" i="1"/>
  <c r="BA6" i="1"/>
  <c r="BA22" i="1"/>
  <c r="BA29" i="1"/>
  <c r="BA112" i="1"/>
  <c r="BA34" i="1"/>
  <c r="BA48" i="1"/>
  <c r="BA66" i="1"/>
  <c r="BA2" i="1"/>
  <c r="BA40" i="1"/>
  <c r="BA23" i="1"/>
  <c r="BA85" i="1"/>
  <c r="BA32" i="1"/>
  <c r="BA83" i="1"/>
  <c r="BA51" i="1"/>
  <c r="BA10" i="1"/>
  <c r="BA67" i="1"/>
  <c r="BA18" i="1"/>
  <c r="BA111" i="1"/>
  <c r="BA59" i="1"/>
  <c r="BA91" i="1"/>
  <c r="BA27" i="1"/>
  <c r="BA96" i="1"/>
  <c r="BA9" i="1"/>
  <c r="BA101" i="1"/>
  <c r="BA55" i="1"/>
  <c r="BA17" i="1"/>
  <c r="BA76" i="1"/>
  <c r="BA7" i="1"/>
  <c r="BA49" i="1"/>
  <c r="BA68" i="1"/>
  <c r="BA109" i="1"/>
  <c r="BA35" i="1"/>
  <c r="BA42" i="1"/>
  <c r="BA16" i="1"/>
  <c r="BA41" i="1"/>
  <c r="BA100" i="1"/>
  <c r="BA5" i="1"/>
  <c r="BA104" i="1"/>
  <c r="BA84" i="1"/>
  <c r="BA77" i="1"/>
  <c r="BA39" i="1"/>
  <c r="BA20" i="1"/>
  <c r="BA8" i="1"/>
  <c r="BA12" i="1"/>
  <c r="BA97" i="1"/>
  <c r="BA54" i="1"/>
  <c r="BA24" i="1"/>
  <c r="BA25" i="1"/>
  <c r="BA61" i="1"/>
  <c r="BA75" i="1"/>
  <c r="BA60" i="1"/>
  <c r="BA103" i="1"/>
  <c r="BA38" i="1"/>
  <c r="BA11" i="1"/>
  <c r="BA58" i="1"/>
  <c r="BA13" i="1"/>
  <c r="BA56" i="1"/>
  <c r="BA62" i="1"/>
  <c r="AZ4" i="1"/>
  <c r="AZ86" i="1"/>
  <c r="AZ93" i="1"/>
  <c r="AZ92" i="1"/>
  <c r="AZ45" i="1"/>
  <c r="AZ6" i="1"/>
  <c r="AZ22" i="1"/>
  <c r="AZ29" i="1"/>
  <c r="AZ112" i="1"/>
  <c r="AZ34" i="1"/>
  <c r="AZ48" i="1"/>
  <c r="AZ66" i="1"/>
  <c r="AZ2" i="1"/>
  <c r="AZ40" i="1"/>
  <c r="AZ23" i="1"/>
  <c r="AZ85" i="1"/>
  <c r="AZ32" i="1"/>
  <c r="AZ83" i="1"/>
  <c r="AZ51" i="1"/>
  <c r="AZ10" i="1"/>
  <c r="AZ67" i="1"/>
  <c r="AZ18" i="1"/>
  <c r="AZ111" i="1"/>
  <c r="AZ59" i="1"/>
  <c r="AZ91" i="1"/>
  <c r="AZ27" i="1"/>
  <c r="AZ96" i="1"/>
  <c r="AZ9" i="1"/>
  <c r="AZ101" i="1"/>
  <c r="AZ55" i="1"/>
  <c r="AZ17" i="1"/>
  <c r="AZ76" i="1"/>
  <c r="AZ7" i="1"/>
  <c r="AZ49" i="1"/>
  <c r="AZ68" i="1"/>
  <c r="AZ109" i="1"/>
  <c r="AZ35" i="1"/>
  <c r="AZ42" i="1"/>
  <c r="AZ16" i="1"/>
  <c r="AZ41" i="1"/>
  <c r="AZ100" i="1"/>
  <c r="AZ5" i="1"/>
  <c r="AZ104" i="1"/>
  <c r="AZ84" i="1"/>
  <c r="AZ77" i="1"/>
  <c r="AZ39" i="1"/>
  <c r="AZ20" i="1"/>
  <c r="AZ8" i="1"/>
  <c r="AZ12" i="1"/>
  <c r="AZ97" i="1"/>
  <c r="AZ54" i="1"/>
  <c r="AZ24" i="1"/>
  <c r="AZ25" i="1"/>
  <c r="AZ61" i="1"/>
  <c r="AZ75" i="1"/>
  <c r="AZ60" i="1"/>
  <c r="AZ103" i="1"/>
  <c r="AZ38" i="1"/>
  <c r="AZ11" i="1"/>
  <c r="AZ58" i="1"/>
  <c r="AZ13" i="1"/>
  <c r="AZ56" i="1"/>
  <c r="AZ62" i="1"/>
  <c r="AY4" i="1"/>
  <c r="AY86" i="1"/>
  <c r="AY93" i="1"/>
  <c r="AY92" i="1"/>
  <c r="AY45" i="1"/>
  <c r="AY6" i="1"/>
  <c r="AY22" i="1"/>
  <c r="AY29" i="1"/>
  <c r="AY112" i="1"/>
  <c r="AY34" i="1"/>
  <c r="AY48" i="1"/>
  <c r="AY66" i="1"/>
  <c r="AY2" i="1"/>
  <c r="AY40" i="1"/>
  <c r="AY23" i="1"/>
  <c r="AY85" i="1"/>
  <c r="AY83" i="1"/>
  <c r="AY51" i="1"/>
  <c r="AY10" i="1"/>
  <c r="AY67" i="1"/>
  <c r="AY18" i="1"/>
  <c r="AY111" i="1"/>
  <c r="AY59" i="1"/>
  <c r="AY91" i="1"/>
  <c r="AY27" i="1"/>
  <c r="AY96" i="1"/>
  <c r="AY9" i="1"/>
  <c r="AY101" i="1"/>
  <c r="AY55" i="1"/>
  <c r="AY17" i="1"/>
  <c r="AY76" i="1"/>
  <c r="AY7" i="1"/>
  <c r="AY49" i="1"/>
  <c r="AY68" i="1"/>
  <c r="AY109" i="1"/>
  <c r="AY35" i="1"/>
  <c r="AY42" i="1"/>
  <c r="AY16" i="1"/>
  <c r="AY41" i="1"/>
  <c r="AY100" i="1"/>
  <c r="AY5" i="1"/>
  <c r="AY104" i="1"/>
  <c r="AY84" i="1"/>
  <c r="AY77" i="1"/>
  <c r="AY39" i="1"/>
  <c r="AY15" i="1"/>
  <c r="AY20" i="1"/>
  <c r="AY8" i="1"/>
  <c r="AY12" i="1"/>
  <c r="AY97" i="1"/>
  <c r="AY54" i="1"/>
  <c r="AY24" i="1"/>
  <c r="AY25" i="1"/>
  <c r="AY61" i="1"/>
  <c r="AY75" i="1"/>
  <c r="AY60" i="1"/>
  <c r="AY103" i="1"/>
  <c r="AY38" i="1"/>
  <c r="AY11" i="1"/>
  <c r="AY58" i="1"/>
  <c r="AY13" i="1"/>
  <c r="AY56" i="1"/>
  <c r="AY62" i="1"/>
  <c r="AX31" i="1"/>
  <c r="AW31" i="1"/>
  <c r="AW112" i="1"/>
  <c r="AV20" i="1"/>
  <c r="AV31" i="1"/>
  <c r="AO19" i="1"/>
  <c r="AN50" i="1"/>
  <c r="AN55" i="1"/>
  <c r="AN60" i="1"/>
  <c r="AN107" i="1"/>
  <c r="AN28" i="1"/>
  <c r="AN64" i="1"/>
  <c r="AN38" i="1"/>
  <c r="AN24" i="1"/>
  <c r="AN44" i="1"/>
  <c r="AN110" i="1"/>
  <c r="AN14" i="1"/>
  <c r="AN68" i="1"/>
  <c r="AN103" i="1"/>
  <c r="AN97" i="1"/>
  <c r="AN46" i="1"/>
  <c r="AN59" i="1"/>
  <c r="AN22" i="1"/>
  <c r="AN7" i="1"/>
  <c r="AN83" i="1"/>
  <c r="AN74" i="1"/>
  <c r="AN21" i="1"/>
  <c r="AN31" i="1"/>
  <c r="AN35" i="1"/>
  <c r="AN93" i="1"/>
  <c r="AN109" i="1"/>
  <c r="AN72" i="1"/>
  <c r="AN48" i="1"/>
  <c r="AN117" i="1"/>
  <c r="AN8" i="1"/>
  <c r="AN111" i="1"/>
  <c r="AN57" i="1"/>
  <c r="AN30" i="1"/>
  <c r="AN100" i="1"/>
  <c r="AN119" i="1"/>
  <c r="AN54" i="1"/>
  <c r="S89" i="1"/>
  <c r="AN89" i="1" s="1"/>
  <c r="S52" i="1"/>
  <c r="AN52" i="1" s="1"/>
  <c r="BB18" i="1" l="1"/>
  <c r="AA50" i="1"/>
  <c r="AX50" i="1" s="1"/>
  <c r="AA62" i="1"/>
  <c r="AX62" i="1" s="1"/>
  <c r="AA92" i="1"/>
  <c r="AX92" i="1" s="1"/>
  <c r="AA4" i="1"/>
  <c r="AX4" i="1" s="1"/>
  <c r="AA40" i="1"/>
  <c r="AX40" i="1" s="1"/>
  <c r="AA112" i="1"/>
  <c r="AX112" i="1" s="1"/>
  <c r="AA34" i="1"/>
  <c r="AX34" i="1" s="1"/>
  <c r="AA6" i="1"/>
  <c r="AX6" i="1" s="1"/>
  <c r="AA93" i="1"/>
  <c r="AX93" i="1" s="1"/>
  <c r="AA68" i="1"/>
  <c r="AX68" i="1" s="1"/>
  <c r="AA19" i="1"/>
  <c r="AX19" i="1" s="1"/>
  <c r="AA48" i="1"/>
  <c r="AX48" i="1" s="1"/>
  <c r="AA86" i="1"/>
  <c r="AX86" i="1" s="1"/>
  <c r="AA75" i="1"/>
  <c r="AX75" i="1" s="1"/>
  <c r="AA33" i="1"/>
  <c r="AX33" i="1" s="1"/>
  <c r="AA108" i="1"/>
  <c r="AX108" i="1" s="1"/>
  <c r="AA53" i="1"/>
  <c r="AX53" i="1" s="1"/>
  <c r="AA66" i="1"/>
  <c r="AX66" i="1" s="1"/>
  <c r="AA85" i="1"/>
  <c r="AX85" i="1" s="1"/>
  <c r="AA111" i="1" l="1"/>
  <c r="AX111" i="1" s="1"/>
  <c r="AA96" i="1"/>
  <c r="AX96" i="1" s="1"/>
  <c r="AA54" i="1"/>
  <c r="AX54" i="1" s="1"/>
  <c r="AA55" i="1"/>
  <c r="AX55" i="1" s="1"/>
  <c r="AA100" i="1"/>
  <c r="AX100" i="1" s="1"/>
  <c r="AA16" i="1" l="1"/>
  <c r="AX16" i="1" s="1"/>
  <c r="AA27" i="1" l="1"/>
  <c r="AX27" i="1" s="1"/>
  <c r="AA2" i="1"/>
  <c r="AA83" i="1"/>
  <c r="AX83" i="1" s="1"/>
  <c r="AA23" i="1"/>
  <c r="AX23" i="1" s="1"/>
  <c r="AA7" i="1"/>
  <c r="AX7" i="1" s="1"/>
  <c r="AA60" i="1"/>
  <c r="AX60" i="1" s="1"/>
  <c r="AA29" i="1"/>
  <c r="AX29" i="1" s="1"/>
  <c r="AA22" i="1"/>
  <c r="AX22" i="1" s="1"/>
  <c r="AA38" i="1"/>
  <c r="AX38" i="1" s="1"/>
  <c r="AA35" i="1" l="1"/>
  <c r="AX35" i="1" s="1"/>
  <c r="AA45" i="1"/>
  <c r="AX45" i="1" s="1"/>
  <c r="AA15" i="1"/>
  <c r="AX15" i="1" s="1"/>
  <c r="AA28" i="1"/>
  <c r="AX28" i="1" s="1"/>
  <c r="AA17" i="1"/>
  <c r="AX17" i="1" s="1"/>
  <c r="AA61" i="1"/>
  <c r="AX61" i="1" s="1"/>
  <c r="AA12" i="1"/>
  <c r="AX12" i="1" s="1"/>
  <c r="AA14" i="1"/>
  <c r="AX14" i="1" s="1"/>
  <c r="AA84" i="1"/>
  <c r="AX84" i="1" s="1"/>
  <c r="AA67" i="1"/>
  <c r="AX67" i="1" s="1"/>
  <c r="AA104" i="1"/>
  <c r="AX104" i="1" s="1"/>
  <c r="AA52" i="1"/>
  <c r="AX52" i="1" s="1"/>
  <c r="AA59" i="1"/>
  <c r="AX59" i="1" s="1"/>
  <c r="AA20" i="1"/>
  <c r="AX20" i="1" s="1"/>
  <c r="AA76" i="1"/>
  <c r="AX76" i="1" s="1"/>
  <c r="AA109" i="1" l="1"/>
  <c r="AX109" i="1" s="1"/>
  <c r="AA91" i="1"/>
  <c r="AX91" i="1" s="1"/>
  <c r="AA56" i="1"/>
  <c r="AX56" i="1" s="1"/>
  <c r="AA103" i="1"/>
  <c r="AX103" i="1" s="1"/>
  <c r="AA39" i="1"/>
  <c r="AX39" i="1" s="1"/>
  <c r="AA101" i="1"/>
  <c r="AX101" i="1" s="1"/>
  <c r="AA9" i="1"/>
  <c r="AX9" i="1" s="1"/>
  <c r="AA10" i="1"/>
  <c r="AX10" i="1" s="1"/>
  <c r="AA25" i="1"/>
  <c r="AX25" i="1" s="1"/>
  <c r="AA11" i="1"/>
  <c r="AX11" i="1" s="1"/>
  <c r="AA24" i="1"/>
  <c r="AX24" i="1" s="1"/>
  <c r="AA49" i="1"/>
  <c r="AX49" i="1" s="1"/>
  <c r="AA41" i="1"/>
  <c r="AX41" i="1" s="1"/>
  <c r="AA5" i="1"/>
  <c r="AX5" i="1" s="1"/>
  <c r="AA32" i="1"/>
  <c r="AX32" i="1" s="1"/>
  <c r="AA79" i="1"/>
  <c r="AX79" i="1" s="1"/>
  <c r="AA42" i="1"/>
  <c r="AA13" i="1"/>
  <c r="AX13" i="1" s="1"/>
  <c r="AA51" i="1"/>
  <c r="AX51" i="1" s="1"/>
  <c r="S40" i="1"/>
  <c r="AN40" i="1" s="1"/>
  <c r="S11" i="1"/>
  <c r="AN11" i="1" s="1"/>
  <c r="S80" i="1"/>
  <c r="AN80" i="1" s="1"/>
  <c r="S16" i="1"/>
  <c r="AN16" i="1" s="1"/>
  <c r="S65" i="1"/>
  <c r="AN65" i="1" s="1"/>
  <c r="S17" i="1"/>
  <c r="AN17" i="1" s="1"/>
  <c r="S43" i="1"/>
  <c r="AN43" i="1" s="1"/>
  <c r="S62" i="1"/>
  <c r="AN62" i="1" s="1"/>
  <c r="S18" i="1"/>
  <c r="AN18" i="1" s="1"/>
  <c r="S4" i="1"/>
  <c r="AN4" i="1" s="1"/>
  <c r="S29" i="1"/>
  <c r="AN29" i="1" s="1"/>
  <c r="S77" i="1"/>
  <c r="AN77" i="1" s="1"/>
  <c r="S25" i="1"/>
  <c r="AN25" i="1" s="1"/>
  <c r="S23" i="1"/>
  <c r="AN23" i="1" s="1"/>
  <c r="S69" i="1"/>
  <c r="AN69" i="1" s="1"/>
  <c r="S47" i="1"/>
  <c r="AN47" i="1" s="1"/>
  <c r="S112" i="1"/>
  <c r="AN112" i="1" s="1"/>
  <c r="S121" i="1"/>
  <c r="AN121" i="1" s="1"/>
  <c r="S5" i="1"/>
  <c r="AN5" i="1" s="1"/>
  <c r="S81" i="1"/>
  <c r="AN81" i="1" s="1"/>
  <c r="S13" i="1" l="1"/>
  <c r="AN13" i="1" s="1"/>
  <c r="S15" i="1"/>
  <c r="AN15" i="1" s="1"/>
  <c r="S104" i="1"/>
  <c r="AN104" i="1" s="1"/>
  <c r="S20" i="1"/>
  <c r="AN20" i="1" s="1"/>
  <c r="S27" i="1" l="1"/>
  <c r="AN27" i="1" s="1"/>
  <c r="S33" i="1"/>
  <c r="AN33" i="1" s="1"/>
  <c r="S84" i="1"/>
  <c r="AN84" i="1" s="1"/>
  <c r="S49" i="1"/>
  <c r="AN49" i="1" s="1"/>
  <c r="S61" i="1"/>
  <c r="AN61" i="1" s="1"/>
  <c r="S76" i="1"/>
  <c r="AN76" i="1" s="1"/>
  <c r="S96" i="1"/>
  <c r="AN96" i="1" s="1"/>
  <c r="S53" i="1"/>
  <c r="AN53" i="1" s="1"/>
  <c r="S37" i="1"/>
  <c r="AN37" i="1" s="1"/>
  <c r="R105" i="1"/>
  <c r="S51" i="1"/>
  <c r="AN51" i="1" s="1"/>
  <c r="R45" i="1"/>
  <c r="S2" i="1"/>
  <c r="AN2" i="1" s="1"/>
  <c r="S39" i="1"/>
  <c r="AN39" i="1" s="1"/>
  <c r="S32" i="1"/>
  <c r="AN32" i="1" s="1"/>
  <c r="S12" i="1"/>
  <c r="AN12" i="1" s="1"/>
  <c r="S10" i="1"/>
  <c r="AN10" i="1" s="1"/>
  <c r="S91" i="1"/>
  <c r="AN91" i="1" s="1"/>
  <c r="R67" i="1"/>
  <c r="S42" i="1"/>
  <c r="AN42" i="1" s="1"/>
  <c r="S36" i="1"/>
  <c r="AN36" i="1" s="1"/>
  <c r="S41" i="1"/>
  <c r="AN41" i="1" s="1"/>
  <c r="R19" i="1" l="1"/>
  <c r="R56" i="1"/>
  <c r="Q41" i="1" l="1"/>
  <c r="AM41" i="1" s="1"/>
  <c r="O41" i="1"/>
  <c r="AL41" i="1" s="1"/>
  <c r="AO41" i="1" l="1"/>
  <c r="AS286" i="1"/>
  <c r="Q57" i="1"/>
  <c r="AM57" i="1" s="1"/>
  <c r="O57" i="1"/>
  <c r="AL57" i="1" s="1"/>
  <c r="AO57" i="1" l="1"/>
  <c r="Q40" i="1"/>
  <c r="AM40" i="1" s="1"/>
  <c r="O40" i="1"/>
  <c r="AL40" i="1" s="1"/>
  <c r="Q11" i="1"/>
  <c r="AM11" i="1" s="1"/>
  <c r="O11" i="1"/>
  <c r="AL11" i="1" s="1"/>
  <c r="Q80" i="1"/>
  <c r="AM80" i="1" s="1"/>
  <c r="O80" i="1"/>
  <c r="AL80" i="1" s="1"/>
  <c r="O16" i="1"/>
  <c r="AL16" i="1" s="1"/>
  <c r="Q65" i="1"/>
  <c r="AM65" i="1" s="1"/>
  <c r="O65" i="1"/>
  <c r="AL65" i="1" s="1"/>
  <c r="O17" i="1"/>
  <c r="AL17" i="1" s="1"/>
  <c r="Q62" i="1"/>
  <c r="AM62" i="1" s="1"/>
  <c r="O62" i="1"/>
  <c r="AL62" i="1" s="1"/>
  <c r="AO62" i="1" s="1"/>
  <c r="Q43" i="1"/>
  <c r="AM43" i="1" s="1"/>
  <c r="O43" i="1"/>
  <c r="AL43" i="1" s="1"/>
  <c r="Q18" i="1"/>
  <c r="AM18" i="1" s="1"/>
  <c r="O18" i="1"/>
  <c r="AL18" i="1" s="1"/>
  <c r="Q119" i="1"/>
  <c r="AM119" i="1" s="1"/>
  <c r="O119" i="1"/>
  <c r="AL119" i="1" s="1"/>
  <c r="O30" i="1"/>
  <c r="Q4" i="1"/>
  <c r="AM4" i="1" s="1"/>
  <c r="O4" i="1"/>
  <c r="AL4" i="1" s="1"/>
  <c r="O100" i="1"/>
  <c r="Q29" i="1"/>
  <c r="AM29" i="1" s="1"/>
  <c r="O29" i="1"/>
  <c r="AL29" i="1" s="1"/>
  <c r="Q77" i="1"/>
  <c r="AM77" i="1" s="1"/>
  <c r="O77" i="1"/>
  <c r="AL77" i="1" s="1"/>
  <c r="Q47" i="1"/>
  <c r="AM47" i="1" s="1"/>
  <c r="O47" i="1"/>
  <c r="AL47" i="1" s="1"/>
  <c r="AO47" i="1" s="1"/>
  <c r="Q25" i="1"/>
  <c r="AM25" i="1" s="1"/>
  <c r="O25" i="1"/>
  <c r="AL25" i="1" s="1"/>
  <c r="Q23" i="1"/>
  <c r="AM23" i="1" s="1"/>
  <c r="O23" i="1"/>
  <c r="AL23" i="1" s="1"/>
  <c r="O111" i="1"/>
  <c r="Q69" i="1"/>
  <c r="AM69" i="1" s="1"/>
  <c r="O69" i="1"/>
  <c r="AL69" i="1" s="1"/>
  <c r="AO4" i="1" l="1"/>
  <c r="AO43" i="1"/>
  <c r="AO23" i="1"/>
  <c r="AO29" i="1"/>
  <c r="AO18" i="1"/>
  <c r="AO80" i="1"/>
  <c r="AO11" i="1"/>
  <c r="AO25" i="1"/>
  <c r="AO69" i="1"/>
  <c r="AO77" i="1"/>
  <c r="AO119" i="1"/>
  <c r="AO40" i="1"/>
  <c r="AO65" i="1"/>
  <c r="Q100" i="1"/>
  <c r="AM100" i="1" s="1"/>
  <c r="AL100" i="1"/>
  <c r="Q30" i="1"/>
  <c r="AM30" i="1" s="1"/>
  <c r="AL30" i="1"/>
  <c r="Q111" i="1"/>
  <c r="AM111" i="1" s="1"/>
  <c r="AL111" i="1"/>
  <c r="Q48" i="1"/>
  <c r="AM48" i="1" s="1"/>
  <c r="O48" i="1"/>
  <c r="AL48" i="1" s="1"/>
  <c r="Q112" i="1"/>
  <c r="AM112" i="1" s="1"/>
  <c r="O112" i="1"/>
  <c r="AL112" i="1" s="1"/>
  <c r="Q121" i="1"/>
  <c r="AM121" i="1" s="1"/>
  <c r="O121" i="1"/>
  <c r="AL121" i="1" s="1"/>
  <c r="Q5" i="1"/>
  <c r="AM5" i="1" s="1"/>
  <c r="O5" i="1"/>
  <c r="AL5" i="1" s="1"/>
  <c r="Q81" i="1"/>
  <c r="AM81" i="1" s="1"/>
  <c r="O81" i="1"/>
  <c r="AL81" i="1" s="1"/>
  <c r="O7" i="1"/>
  <c r="Q52" i="1"/>
  <c r="AM52" i="1" s="1"/>
  <c r="O52" i="1"/>
  <c r="AL52" i="1" s="1"/>
  <c r="Q89" i="1"/>
  <c r="AM89" i="1" s="1"/>
  <c r="O89" i="1"/>
  <c r="AL89" i="1" s="1"/>
  <c r="Q68" i="1"/>
  <c r="AM68" i="1" s="1"/>
  <c r="O68" i="1"/>
  <c r="AL68" i="1" s="1"/>
  <c r="Q13" i="1"/>
  <c r="AM13" i="1" s="1"/>
  <c r="O13" i="1"/>
  <c r="AL13" i="1" s="1"/>
  <c r="O35" i="1"/>
  <c r="Q15" i="1"/>
  <c r="AM15" i="1" s="1"/>
  <c r="O15" i="1"/>
  <c r="AL15" i="1" s="1"/>
  <c r="O110" i="1"/>
  <c r="Q31" i="1"/>
  <c r="AM31" i="1" s="1"/>
  <c r="O31" i="1"/>
  <c r="AL31" i="1" s="1"/>
  <c r="O117" i="1"/>
  <c r="Q104" i="1"/>
  <c r="AM104" i="1" s="1"/>
  <c r="O104" i="1"/>
  <c r="AL104" i="1" s="1"/>
  <c r="Q72" i="1"/>
  <c r="AM72" i="1" s="1"/>
  <c r="O72" i="1"/>
  <c r="AL72" i="1" s="1"/>
  <c r="Q20" i="1"/>
  <c r="AM20" i="1" s="1"/>
  <c r="O20" i="1"/>
  <c r="AL20" i="1" s="1"/>
  <c r="Q83" i="1"/>
  <c r="AM83" i="1" s="1"/>
  <c r="O83" i="1"/>
  <c r="AL83" i="1" s="1"/>
  <c r="O44" i="1"/>
  <c r="AL44" i="1" s="1"/>
  <c r="AO83" i="1" l="1"/>
  <c r="AO81" i="1"/>
  <c r="AO20" i="1"/>
  <c r="AO5" i="1"/>
  <c r="AO48" i="1"/>
  <c r="AO31" i="1"/>
  <c r="AO104" i="1"/>
  <c r="AO112" i="1"/>
  <c r="AO100" i="1"/>
  <c r="AO111" i="1"/>
  <c r="AO89" i="1"/>
  <c r="AO72" i="1"/>
  <c r="AO15" i="1"/>
  <c r="AO121" i="1"/>
  <c r="AO30" i="1"/>
  <c r="AO13" i="1"/>
  <c r="AO68" i="1"/>
  <c r="AO52" i="1"/>
  <c r="Q117" i="1"/>
  <c r="AM117" i="1" s="1"/>
  <c r="AL117" i="1"/>
  <c r="Q110" i="1"/>
  <c r="AM110" i="1" s="1"/>
  <c r="AL110" i="1"/>
  <c r="Q35" i="1"/>
  <c r="AM35" i="1" s="1"/>
  <c r="AL35" i="1"/>
  <c r="Q7" i="1"/>
  <c r="AM7" i="1" s="1"/>
  <c r="AL7" i="1"/>
  <c r="Q107" i="1"/>
  <c r="AM107" i="1" s="1"/>
  <c r="O107" i="1"/>
  <c r="AL107" i="1" s="1"/>
  <c r="Q109" i="1"/>
  <c r="AM109" i="1" s="1"/>
  <c r="O109" i="1"/>
  <c r="AL109" i="1" s="1"/>
  <c r="Q8" i="1"/>
  <c r="AM8" i="1" s="1"/>
  <c r="O8" i="1"/>
  <c r="AL8" i="1" s="1"/>
  <c r="Q37" i="1"/>
  <c r="AM37" i="1" s="1"/>
  <c r="O37" i="1"/>
  <c r="AL37" i="1" s="1"/>
  <c r="Q74" i="1"/>
  <c r="AM74" i="1" s="1"/>
  <c r="O74" i="1"/>
  <c r="AL74" i="1" s="1"/>
  <c r="O46" i="1"/>
  <c r="Q103" i="1"/>
  <c r="AM103" i="1" s="1"/>
  <c r="O103" i="1"/>
  <c r="AL103" i="1" s="1"/>
  <c r="Q22" i="1"/>
  <c r="AM22" i="1" s="1"/>
  <c r="O22" i="1"/>
  <c r="AL22" i="1" s="1"/>
  <c r="Q27" i="1"/>
  <c r="AM27" i="1" s="1"/>
  <c r="O27" i="1"/>
  <c r="AL27" i="1" s="1"/>
  <c r="O38" i="1"/>
  <c r="AL38" i="1" s="1"/>
  <c r="Q38" i="1"/>
  <c r="AM38" i="1" s="1"/>
  <c r="O93" i="1"/>
  <c r="Q33" i="1"/>
  <c r="AM33" i="1" s="1"/>
  <c r="O33" i="1"/>
  <c r="AL33" i="1" s="1"/>
  <c r="Q84" i="1"/>
  <c r="AM84" i="1" s="1"/>
  <c r="O84" i="1"/>
  <c r="AL84" i="1" s="1"/>
  <c r="Q64" i="1"/>
  <c r="AM64" i="1" s="1"/>
  <c r="O64" i="1"/>
  <c r="AL64" i="1" s="1"/>
  <c r="Q49" i="1"/>
  <c r="AM49" i="1" s="1"/>
  <c r="O49" i="1"/>
  <c r="AL49" i="1" s="1"/>
  <c r="Q61" i="1"/>
  <c r="AM61" i="1" s="1"/>
  <c r="O61" i="1"/>
  <c r="AL61" i="1" s="1"/>
  <c r="O50" i="1"/>
  <c r="Q14" i="1"/>
  <c r="AM14" i="1" s="1"/>
  <c r="O14" i="1"/>
  <c r="AL14" i="1" s="1"/>
  <c r="Q60" i="1"/>
  <c r="AM60" i="1" s="1"/>
  <c r="O60" i="1"/>
  <c r="AL60" i="1" s="1"/>
  <c r="Q97" i="1"/>
  <c r="AM97" i="1" s="1"/>
  <c r="O97" i="1"/>
  <c r="AL97" i="1" s="1"/>
  <c r="Q76" i="1"/>
  <c r="AM76" i="1" s="1"/>
  <c r="O76" i="1"/>
  <c r="AL76" i="1" s="1"/>
  <c r="Q54" i="1"/>
  <c r="AM54" i="1" s="1"/>
  <c r="O54" i="1"/>
  <c r="AL54" i="1" s="1"/>
  <c r="Q96" i="1"/>
  <c r="AM96" i="1" s="1"/>
  <c r="O96" i="1"/>
  <c r="AL96" i="1" s="1"/>
  <c r="Q53" i="1"/>
  <c r="AM53" i="1" s="1"/>
  <c r="O53" i="1"/>
  <c r="AL53" i="1" s="1"/>
  <c r="Q28" i="1"/>
  <c r="AM28" i="1" s="1"/>
  <c r="O28" i="1"/>
  <c r="AL28" i="1" s="1"/>
  <c r="Q21" i="1"/>
  <c r="AM21" i="1" s="1"/>
  <c r="Q24" i="1"/>
  <c r="AM24" i="1" s="1"/>
  <c r="O24" i="1"/>
  <c r="AL24" i="1" s="1"/>
  <c r="O63" i="1"/>
  <c r="O59" i="1"/>
  <c r="AL59" i="1" s="1"/>
  <c r="Q105" i="1"/>
  <c r="O105" i="1"/>
  <c r="AL105" i="1" s="1"/>
  <c r="Q51" i="1"/>
  <c r="AM51" i="1" s="1"/>
  <c r="O51" i="1"/>
  <c r="AL51" i="1" s="1"/>
  <c r="Q45" i="1"/>
  <c r="AM45" i="1" s="1"/>
  <c r="O45" i="1"/>
  <c r="Q2" i="1"/>
  <c r="AM2" i="1" s="1"/>
  <c r="O2" i="1"/>
  <c r="AL2" i="1" s="1"/>
  <c r="Q39" i="1"/>
  <c r="AM39" i="1" s="1"/>
  <c r="O39" i="1"/>
  <c r="AL39" i="1" s="1"/>
  <c r="AO64" i="1" l="1"/>
  <c r="AO74" i="1"/>
  <c r="AO107" i="1"/>
  <c r="AO117" i="1"/>
  <c r="AO39" i="1"/>
  <c r="AO49" i="1"/>
  <c r="AO109" i="1"/>
  <c r="AO110" i="1"/>
  <c r="AO28" i="1"/>
  <c r="AO76" i="1"/>
  <c r="AO22" i="1"/>
  <c r="AO96" i="1"/>
  <c r="AO51" i="1"/>
  <c r="AO2" i="1"/>
  <c r="AO84" i="1"/>
  <c r="AO37" i="1"/>
  <c r="AO7" i="1"/>
  <c r="AO24" i="1"/>
  <c r="AO38" i="1"/>
  <c r="AO54" i="1"/>
  <c r="AO14" i="1"/>
  <c r="AO27" i="1"/>
  <c r="AO60" i="1"/>
  <c r="AO61" i="1"/>
  <c r="AO33" i="1"/>
  <c r="AO8" i="1"/>
  <c r="AO35" i="1"/>
  <c r="AO53" i="1"/>
  <c r="AO97" i="1"/>
  <c r="AO103" i="1"/>
  <c r="S105" i="1"/>
  <c r="AN105" i="1" s="1"/>
  <c r="AM105" i="1"/>
  <c r="Q50" i="1"/>
  <c r="AM50" i="1" s="1"/>
  <c r="AL50" i="1"/>
  <c r="Q93" i="1"/>
  <c r="AM93" i="1" s="1"/>
  <c r="AL93" i="1"/>
  <c r="Q46" i="1"/>
  <c r="AM46" i="1" s="1"/>
  <c r="AL46" i="1"/>
  <c r="Q63" i="1"/>
  <c r="AL63" i="1"/>
  <c r="S45" i="1"/>
  <c r="AN45" i="1" s="1"/>
  <c r="AL45" i="1"/>
  <c r="Q32" i="1"/>
  <c r="AM32" i="1" s="1"/>
  <c r="O32" i="1"/>
  <c r="AL32" i="1" s="1"/>
  <c r="Q12" i="1"/>
  <c r="AM12" i="1" s="1"/>
  <c r="O12" i="1"/>
  <c r="AL12" i="1" s="1"/>
  <c r="Q10" i="1"/>
  <c r="AM10" i="1" s="1"/>
  <c r="O10" i="1"/>
  <c r="AL10" i="1" s="1"/>
  <c r="O34" i="1"/>
  <c r="O91" i="1"/>
  <c r="AL91" i="1" s="1"/>
  <c r="Q91" i="1"/>
  <c r="AM91" i="1" s="1"/>
  <c r="P67" i="1"/>
  <c r="Q67" i="1" s="1"/>
  <c r="AM67" i="1" s="1"/>
  <c r="O67" i="1"/>
  <c r="AO12" i="1" l="1"/>
  <c r="AO45" i="1"/>
  <c r="AO50" i="1"/>
  <c r="AO32" i="1"/>
  <c r="AO93" i="1"/>
  <c r="AO46" i="1"/>
  <c r="AO10" i="1"/>
  <c r="AO105" i="1"/>
  <c r="AO91" i="1"/>
  <c r="S63" i="1"/>
  <c r="AN63" i="1" s="1"/>
  <c r="AM63" i="1"/>
  <c r="S67" i="1"/>
  <c r="AN67" i="1" s="1"/>
  <c r="AL67" i="1"/>
  <c r="S34" i="1"/>
  <c r="AN34" i="1" s="1"/>
  <c r="AL34" i="1"/>
  <c r="Q42" i="1"/>
  <c r="AM42" i="1" s="1"/>
  <c r="O42" i="1"/>
  <c r="AL42" i="1" s="1"/>
  <c r="Q36" i="1"/>
  <c r="AM36" i="1" s="1"/>
  <c r="O36" i="1"/>
  <c r="AL36" i="1" s="1"/>
  <c r="Q19" i="1"/>
  <c r="O19" i="1"/>
  <c r="S19" i="1" s="1"/>
  <c r="Q56" i="1"/>
  <c r="AM56" i="1" s="1"/>
  <c r="O56" i="1"/>
  <c r="AC15" i="1"/>
  <c r="AZ15" i="1" s="1"/>
  <c r="AO36" i="1" l="1"/>
  <c r="AO63" i="1"/>
  <c r="AO67" i="1"/>
  <c r="AO42" i="1"/>
  <c r="S56" i="1"/>
  <c r="AN56" i="1" s="1"/>
  <c r="AL56" i="1"/>
  <c r="AD15" i="1"/>
  <c r="BA15" i="1" s="1"/>
  <c r="Z61" i="1"/>
  <c r="AW61" i="1" s="1"/>
  <c r="Y61" i="1"/>
  <c r="AV61" i="1" s="1"/>
  <c r="BB61" i="1" l="1"/>
  <c r="AO56" i="1"/>
  <c r="AT229" i="1"/>
  <c r="AT215" i="1"/>
  <c r="AT259" i="1"/>
  <c r="AT258" i="1"/>
  <c r="AT242" i="1"/>
  <c r="AT182" i="1"/>
  <c r="AT147" i="1"/>
  <c r="AT142" i="1"/>
  <c r="AT300" i="1"/>
  <c r="AT2" i="1"/>
  <c r="AT6" i="1"/>
  <c r="AT204" i="1"/>
  <c r="AT11" i="1"/>
  <c r="AT33" i="1"/>
  <c r="AT145" i="1"/>
  <c r="AT15" i="1"/>
  <c r="AT18" i="1"/>
  <c r="AT41" i="1"/>
  <c r="AT52" i="1"/>
  <c r="AT8" i="1"/>
  <c r="AT13" i="1"/>
  <c r="AT3" i="1"/>
  <c r="AT5" i="1"/>
  <c r="AT25" i="1"/>
  <c r="AT9" i="1"/>
  <c r="AT21" i="1"/>
  <c r="AT22" i="1"/>
  <c r="AT24" i="1"/>
  <c r="AT70" i="1"/>
  <c r="AT42" i="1"/>
  <c r="AT44" i="1"/>
  <c r="AT43" i="1"/>
  <c r="AT53" i="1"/>
  <c r="AT54" i="1"/>
  <c r="AT55" i="1"/>
  <c r="AT7" i="1"/>
  <c r="AT227" i="1"/>
  <c r="AT272" i="1"/>
  <c r="AT178" i="1"/>
  <c r="AT307" i="1"/>
  <c r="AT280" i="1"/>
  <c r="AT47" i="1"/>
  <c r="AT61" i="1"/>
  <c r="AT62" i="1"/>
  <c r="AT10" i="1"/>
  <c r="AT19" i="1"/>
  <c r="AT27" i="1"/>
  <c r="AT23" i="1"/>
  <c r="AT48" i="1"/>
  <c r="AT66" i="1"/>
  <c r="AT67" i="1"/>
  <c r="AT68" i="1"/>
  <c r="AT37" i="1"/>
  <c r="AT14" i="1"/>
  <c r="AT119" i="1"/>
  <c r="AT82" i="1"/>
  <c r="AT169" i="1"/>
  <c r="AT233" i="1"/>
  <c r="AT112" i="1"/>
  <c r="AT71" i="1"/>
  <c r="AT81" i="1"/>
  <c r="AT16" i="1"/>
  <c r="AT35" i="1"/>
  <c r="AT120" i="1"/>
  <c r="AT118" i="1"/>
  <c r="AT237" i="1"/>
  <c r="AT153" i="1"/>
  <c r="AT293" i="1"/>
  <c r="AT207" i="1"/>
  <c r="AT188" i="1"/>
  <c r="AT248" i="1"/>
  <c r="AT286" i="1"/>
  <c r="AT57" i="1"/>
  <c r="AT284" i="1"/>
  <c r="AT315" i="1"/>
  <c r="AT38" i="1"/>
  <c r="AT12" i="1"/>
  <c r="AT87" i="1"/>
  <c r="AT26" i="1"/>
  <c r="AT36" i="1"/>
  <c r="AT134" i="1"/>
  <c r="AT91" i="1"/>
  <c r="AT28" i="1"/>
  <c r="AT17" i="1"/>
  <c r="AT65" i="1"/>
  <c r="AT94" i="1"/>
  <c r="AT298" i="1"/>
  <c r="AT69" i="1"/>
  <c r="AT30" i="1"/>
  <c r="AT116" i="1"/>
  <c r="AT117" i="1"/>
  <c r="AT75" i="1"/>
  <c r="AT76" i="1"/>
  <c r="AT222" i="1"/>
  <c r="AT216" i="1"/>
  <c r="AT150" i="1"/>
  <c r="AT256" i="1"/>
  <c r="AT31" i="1"/>
  <c r="AT34" i="1"/>
  <c r="AT124" i="1"/>
  <c r="AT102" i="1"/>
  <c r="AT140" i="1"/>
  <c r="AT271" i="1"/>
  <c r="AT73" i="1"/>
  <c r="AT122" i="1"/>
  <c r="AT121" i="1"/>
  <c r="AT85" i="1"/>
  <c r="AT86" i="1"/>
  <c r="AT84" i="1"/>
  <c r="AT83" i="1"/>
  <c r="AT56" i="1"/>
  <c r="AT45" i="1"/>
  <c r="AT46" i="1"/>
  <c r="AT257" i="1"/>
  <c r="AT161" i="1"/>
  <c r="AT190" i="1"/>
  <c r="AT192" i="1"/>
  <c r="AT275" i="1"/>
  <c r="AT130" i="1"/>
  <c r="AT184" i="1"/>
  <c r="AT239" i="1"/>
  <c r="AT278" i="1"/>
  <c r="AT138" i="1"/>
  <c r="AT262" i="1"/>
  <c r="AT139" i="1"/>
  <c r="AT217" i="1"/>
  <c r="AT265" i="1"/>
  <c r="AT250" i="1"/>
  <c r="AT165" i="1"/>
  <c r="AT208" i="1"/>
  <c r="AT133" i="1"/>
  <c r="AT155" i="1"/>
  <c r="AT136" i="1"/>
  <c r="AT183" i="1"/>
  <c r="AT292" i="1"/>
  <c r="AT194" i="1"/>
  <c r="AT203" i="1"/>
  <c r="AT92" i="1"/>
  <c r="AT29" i="1"/>
  <c r="AT95" i="1"/>
  <c r="AT96" i="1"/>
  <c r="AT93" i="1"/>
  <c r="AT72" i="1"/>
  <c r="AT88" i="1"/>
  <c r="AT285" i="1"/>
  <c r="AT74" i="1"/>
  <c r="AT231" i="1"/>
  <c r="AT78" i="1"/>
  <c r="AT77" i="1"/>
  <c r="AT39" i="1"/>
  <c r="AT40" i="1"/>
  <c r="AT97" i="1"/>
  <c r="AT98" i="1"/>
  <c r="AT49" i="1"/>
  <c r="AT125" i="1"/>
  <c r="AT287" i="1"/>
  <c r="AT141" i="1"/>
  <c r="AT218" i="1"/>
  <c r="AT223" i="1"/>
  <c r="AT241" i="1"/>
  <c r="AT264" i="1"/>
  <c r="AT144" i="1"/>
  <c r="AT174" i="1"/>
  <c r="AT162" i="1"/>
  <c r="AT32" i="1"/>
  <c r="AT51" i="1"/>
  <c r="AT126" i="1"/>
  <c r="AT80" i="1"/>
  <c r="AT123" i="1"/>
  <c r="AT101" i="1"/>
  <c r="AT100" i="1"/>
  <c r="AT79" i="1"/>
  <c r="AT113" i="1"/>
  <c r="AT20" i="1"/>
  <c r="AT129" i="1"/>
  <c r="AT114" i="1"/>
  <c r="AT115" i="1"/>
  <c r="AT260" i="1"/>
  <c r="AT164" i="1"/>
  <c r="AT254" i="1"/>
  <c r="AT181" i="1"/>
  <c r="AT205" i="1"/>
  <c r="AT148" i="1"/>
  <c r="AT186" i="1"/>
  <c r="AT290" i="1"/>
  <c r="AT90" i="1"/>
  <c r="AT89" i="1"/>
  <c r="AT106" i="1"/>
  <c r="AT105" i="1"/>
  <c r="AT103" i="1"/>
  <c r="AT104" i="1"/>
  <c r="AT176" i="1"/>
  <c r="AT58" i="1"/>
  <c r="AT59" i="1"/>
  <c r="AT60" i="1"/>
  <c r="AT128" i="1"/>
  <c r="AT127" i="1"/>
  <c r="AT166" i="1"/>
  <c r="AT152" i="1"/>
  <c r="AT283" i="1"/>
  <c r="AT302" i="1"/>
  <c r="AT158" i="1"/>
  <c r="AT199" i="1"/>
  <c r="AT135" i="1"/>
  <c r="AT252" i="1"/>
  <c r="AT219" i="1"/>
  <c r="AT221" i="1"/>
  <c r="AT277" i="1"/>
  <c r="AT299" i="1"/>
  <c r="AT210" i="1"/>
  <c r="AT273" i="1"/>
  <c r="AT261" i="1"/>
  <c r="AT167" i="1"/>
  <c r="AT197" i="1"/>
  <c r="AT173" i="1"/>
  <c r="AT131" i="1"/>
  <c r="AT200" i="1"/>
  <c r="AT301" i="1"/>
  <c r="AT234" i="1"/>
  <c r="AT149" i="1"/>
  <c r="AT311" i="1"/>
  <c r="AT306" i="1"/>
  <c r="AT154" i="1"/>
  <c r="AT281" i="1"/>
  <c r="AT198" i="1"/>
  <c r="AT224" i="1"/>
  <c r="AT195" i="1"/>
  <c r="AT294" i="1"/>
  <c r="AT175" i="1"/>
  <c r="AT249" i="1"/>
  <c r="AT274" i="1"/>
  <c r="AT220" i="1"/>
  <c r="AT209" i="1"/>
  <c r="AT289" i="1"/>
  <c r="AT156" i="1"/>
  <c r="AT304" i="1"/>
  <c r="AT236" i="1"/>
  <c r="AT255" i="1"/>
  <c r="AT177" i="1"/>
  <c r="AT211" i="1"/>
  <c r="AT185" i="1"/>
  <c r="AT168" i="1"/>
  <c r="AT143" i="1"/>
  <c r="AT268" i="1"/>
  <c r="AT163" i="1"/>
  <c r="AT253" i="1"/>
  <c r="AT172" i="1"/>
  <c r="AT312" i="1"/>
  <c r="AT244" i="1"/>
  <c r="AT196" i="1"/>
  <c r="AT246" i="1"/>
  <c r="AT187" i="1"/>
  <c r="AT180" i="1"/>
  <c r="AT267" i="1"/>
  <c r="AT309" i="1"/>
  <c r="AT193" i="1"/>
  <c r="AT151" i="1"/>
  <c r="AT276" i="1"/>
  <c r="AT245" i="1"/>
  <c r="AT308" i="1"/>
  <c r="AT170" i="1"/>
  <c r="AT160" i="1"/>
  <c r="AT232" i="1"/>
  <c r="AT206" i="1"/>
  <c r="AT132" i="1"/>
  <c r="AT243" i="1"/>
  <c r="AT157" i="1"/>
  <c r="AT314" i="1"/>
  <c r="AT291" i="1"/>
  <c r="AT171" i="1"/>
  <c r="AT189" i="1"/>
  <c r="AT226" i="1"/>
  <c r="AT238" i="1"/>
  <c r="AT240" i="1"/>
  <c r="AT107" i="1"/>
  <c r="AT63" i="1"/>
  <c r="AT64" i="1"/>
  <c r="AT50" i="1"/>
  <c r="AT108" i="1"/>
  <c r="AT109" i="1"/>
  <c r="AT99" i="1"/>
  <c r="AT110" i="1"/>
  <c r="AT111" i="1"/>
  <c r="AT4" i="1"/>
  <c r="AS2" i="1"/>
  <c r="AS11" i="1"/>
  <c r="AS6" i="1"/>
  <c r="AS204" i="1"/>
  <c r="AS33" i="1"/>
  <c r="AS9" i="1"/>
  <c r="AS21" i="1"/>
  <c r="AS22" i="1"/>
  <c r="AS145" i="1"/>
  <c r="AS19" i="1"/>
  <c r="AS15" i="1"/>
  <c r="AS18" i="1"/>
  <c r="AS41" i="1"/>
  <c r="AS52" i="1"/>
  <c r="AS8" i="1"/>
  <c r="AS13" i="1"/>
  <c r="AS24" i="1"/>
  <c r="AS3" i="1"/>
  <c r="AS27" i="1"/>
  <c r="AS12" i="1"/>
  <c r="AS10" i="1"/>
  <c r="AS5" i="1"/>
  <c r="AS23" i="1"/>
  <c r="AS25" i="1"/>
  <c r="AS87" i="1"/>
  <c r="AS70" i="1"/>
  <c r="AS42" i="1"/>
  <c r="AS44" i="1"/>
  <c r="AS48" i="1"/>
  <c r="AU48" i="1" s="1"/>
  <c r="AS43" i="1"/>
  <c r="AS26" i="1"/>
  <c r="AS36" i="1"/>
  <c r="AS66" i="1"/>
  <c r="AS67" i="1"/>
  <c r="AS53" i="1"/>
  <c r="AS54" i="1"/>
  <c r="AS55" i="1"/>
  <c r="AS68" i="1"/>
  <c r="AS37" i="1"/>
  <c r="AS7" i="1"/>
  <c r="AU7" i="1" s="1"/>
  <c r="AS227" i="1"/>
  <c r="AS134" i="1"/>
  <c r="AS272" i="1"/>
  <c r="AS178" i="1"/>
  <c r="AS307" i="1"/>
  <c r="AS280" i="1"/>
  <c r="AS47" i="1"/>
  <c r="AS61" i="1"/>
  <c r="AS62" i="1"/>
  <c r="AS91" i="1"/>
  <c r="AS28" i="1"/>
  <c r="AS14" i="1"/>
  <c r="AS17" i="1"/>
  <c r="AS72" i="1"/>
  <c r="AS65" i="1"/>
  <c r="AS119" i="1"/>
  <c r="AS82" i="1"/>
  <c r="AS94" i="1"/>
  <c r="AU94" i="1" s="1"/>
  <c r="AS169" i="1"/>
  <c r="AS233" i="1"/>
  <c r="AS298" i="1"/>
  <c r="AS69" i="1"/>
  <c r="AS30" i="1"/>
  <c r="AS116" i="1"/>
  <c r="AS117" i="1"/>
  <c r="AS112" i="1"/>
  <c r="AS75" i="1"/>
  <c r="AS71" i="1"/>
  <c r="AS88" i="1"/>
  <c r="AS76" i="1"/>
  <c r="AS81" i="1"/>
  <c r="AS16" i="1"/>
  <c r="AS35" i="1"/>
  <c r="AS120" i="1"/>
  <c r="AS118" i="1"/>
  <c r="AS237" i="1"/>
  <c r="AS153" i="1"/>
  <c r="AS293" i="1"/>
  <c r="AS207" i="1"/>
  <c r="AS222" i="1"/>
  <c r="AS216" i="1"/>
  <c r="AS188" i="1"/>
  <c r="AS248" i="1"/>
  <c r="AS57" i="1"/>
  <c r="AU57" i="1" s="1"/>
  <c r="AS284" i="1"/>
  <c r="AS285" i="1"/>
  <c r="AS315" i="1"/>
  <c r="AS150" i="1"/>
  <c r="AS256" i="1"/>
  <c r="AS31" i="1"/>
  <c r="AS34" i="1"/>
  <c r="AS38" i="1"/>
  <c r="AS74" i="1"/>
  <c r="AS93" i="1"/>
  <c r="AS124" i="1"/>
  <c r="AS102" i="1"/>
  <c r="AS140" i="1"/>
  <c r="AS231" i="1"/>
  <c r="AS271" i="1"/>
  <c r="AS78" i="1"/>
  <c r="AS73" i="1"/>
  <c r="AS77" i="1"/>
  <c r="AS39" i="1"/>
  <c r="AS40" i="1"/>
  <c r="AS122" i="1"/>
  <c r="AS121" i="1"/>
  <c r="AS85" i="1"/>
  <c r="AS86" i="1"/>
  <c r="AS97" i="1"/>
  <c r="AS84" i="1"/>
  <c r="AS83" i="1"/>
  <c r="AS56" i="1"/>
  <c r="AS98" i="1"/>
  <c r="AS45" i="1"/>
  <c r="AS49" i="1"/>
  <c r="AS46" i="1"/>
  <c r="AU46" i="1" s="1"/>
  <c r="AS125" i="1"/>
  <c r="AS257" i="1"/>
  <c r="AS161" i="1"/>
  <c r="AS190" i="1"/>
  <c r="AS192" i="1"/>
  <c r="AS287" i="1"/>
  <c r="AS141" i="1"/>
  <c r="AS275" i="1"/>
  <c r="AS130" i="1"/>
  <c r="AS184" i="1"/>
  <c r="AS239" i="1"/>
  <c r="AS218" i="1"/>
  <c r="AS223" i="1"/>
  <c r="AS278" i="1"/>
  <c r="AS138" i="1"/>
  <c r="AS241" i="1"/>
  <c r="AS262" i="1"/>
  <c r="AS139" i="1"/>
  <c r="AS264" i="1"/>
  <c r="AS217" i="1"/>
  <c r="AS144" i="1"/>
  <c r="AS265" i="1"/>
  <c r="AS250" i="1"/>
  <c r="AS174" i="1"/>
  <c r="AS165" i="1"/>
  <c r="AS208" i="1"/>
  <c r="AS133" i="1"/>
  <c r="AS162" i="1"/>
  <c r="AS155" i="1"/>
  <c r="AS136" i="1"/>
  <c r="AS183" i="1"/>
  <c r="AS292" i="1"/>
  <c r="AS194" i="1"/>
  <c r="AS203" i="1"/>
  <c r="AS92" i="1"/>
  <c r="AS29" i="1"/>
  <c r="AS32" i="1"/>
  <c r="AS51" i="1"/>
  <c r="AS126" i="1"/>
  <c r="AU126" i="1" s="1"/>
  <c r="AS80" i="1"/>
  <c r="AS123" i="1"/>
  <c r="AS101" i="1"/>
  <c r="AS95" i="1"/>
  <c r="AS96" i="1"/>
  <c r="AS100" i="1"/>
  <c r="AS79" i="1"/>
  <c r="AS113" i="1"/>
  <c r="AS20" i="1"/>
  <c r="AS129" i="1"/>
  <c r="AS114" i="1"/>
  <c r="AS115" i="1"/>
  <c r="AS260" i="1"/>
  <c r="AS164" i="1"/>
  <c r="AS254" i="1"/>
  <c r="AS181" i="1"/>
  <c r="AS205" i="1"/>
  <c r="AS148" i="1"/>
  <c r="AS186" i="1"/>
  <c r="AS290" i="1"/>
  <c r="AS90" i="1"/>
  <c r="AS89" i="1"/>
  <c r="AS106" i="1"/>
  <c r="AS105" i="1"/>
  <c r="AS103" i="1"/>
  <c r="AS104" i="1"/>
  <c r="AS176" i="1"/>
  <c r="AS58" i="1"/>
  <c r="AS59" i="1"/>
  <c r="AS60" i="1"/>
  <c r="AS128" i="1"/>
  <c r="AS127" i="1"/>
  <c r="AS166" i="1"/>
  <c r="AS152" i="1"/>
  <c r="AS283" i="1"/>
  <c r="AS302" i="1"/>
  <c r="AS158" i="1"/>
  <c r="AS199" i="1"/>
  <c r="AS135" i="1"/>
  <c r="AS252" i="1"/>
  <c r="AS219" i="1"/>
  <c r="AS221" i="1"/>
  <c r="AS277" i="1"/>
  <c r="AS299" i="1"/>
  <c r="AS210" i="1"/>
  <c r="AS273" i="1"/>
  <c r="AS261" i="1"/>
  <c r="AS167" i="1"/>
  <c r="AS197" i="1"/>
  <c r="AS173" i="1"/>
  <c r="AS131" i="1"/>
  <c r="AS200" i="1"/>
  <c r="AS301" i="1"/>
  <c r="AS234" i="1"/>
  <c r="AS149" i="1"/>
  <c r="AS311" i="1"/>
  <c r="AS306" i="1"/>
  <c r="AS154" i="1"/>
  <c r="AS281" i="1"/>
  <c r="AS198" i="1"/>
  <c r="AS224" i="1"/>
  <c r="AS195" i="1"/>
  <c r="AS294" i="1"/>
  <c r="AS175" i="1"/>
  <c r="AS249" i="1"/>
  <c r="AS274" i="1"/>
  <c r="AS220" i="1"/>
  <c r="AS209" i="1"/>
  <c r="AS289" i="1"/>
  <c r="AS156" i="1"/>
  <c r="AS304" i="1"/>
  <c r="AS236" i="1"/>
  <c r="AS255" i="1"/>
  <c r="AS177" i="1"/>
  <c r="AS211" i="1"/>
  <c r="AS185" i="1"/>
  <c r="AS168" i="1"/>
  <c r="AS143" i="1"/>
  <c r="AS268" i="1"/>
  <c r="AS163" i="1"/>
  <c r="AS253" i="1"/>
  <c r="AS172" i="1"/>
  <c r="AS312" i="1"/>
  <c r="AS244" i="1"/>
  <c r="AS196" i="1"/>
  <c r="AS246" i="1"/>
  <c r="AS187" i="1"/>
  <c r="AS180" i="1"/>
  <c r="AS267" i="1"/>
  <c r="AS309" i="1"/>
  <c r="AS193" i="1"/>
  <c r="AS151" i="1"/>
  <c r="AS276" i="1"/>
  <c r="AS245" i="1"/>
  <c r="AS308" i="1"/>
  <c r="AS170" i="1"/>
  <c r="AS160" i="1"/>
  <c r="AS232" i="1"/>
  <c r="AS206" i="1"/>
  <c r="AS132" i="1"/>
  <c r="AS243" i="1"/>
  <c r="AS157" i="1"/>
  <c r="AS314" i="1"/>
  <c r="AS291" i="1"/>
  <c r="AS171" i="1"/>
  <c r="AS189" i="1"/>
  <c r="AS226" i="1"/>
  <c r="AS238" i="1"/>
  <c r="AS240" i="1"/>
  <c r="AS107" i="1"/>
  <c r="AS63" i="1"/>
  <c r="AS64" i="1"/>
  <c r="AS99" i="1"/>
  <c r="AU99" i="1" s="1"/>
  <c r="AS50" i="1"/>
  <c r="AS108" i="1"/>
  <c r="AS109" i="1"/>
  <c r="AS110" i="1"/>
  <c r="AS111" i="1"/>
  <c r="AS4" i="1"/>
  <c r="AJ55" i="1"/>
  <c r="AJ16" i="1"/>
  <c r="AJ28" i="1"/>
  <c r="AJ38" i="1"/>
  <c r="AJ92" i="1"/>
  <c r="AJ18" i="1"/>
  <c r="AJ62" i="1"/>
  <c r="AJ56" i="1"/>
  <c r="AJ10" i="1"/>
  <c r="AJ7" i="1"/>
  <c r="AJ45" i="1"/>
  <c r="AJ111" i="1"/>
  <c r="AJ51" i="1"/>
  <c r="AJ108" i="1"/>
  <c r="AJ85" i="1"/>
  <c r="AJ17" i="1"/>
  <c r="AJ84" i="1"/>
  <c r="AJ9" i="1"/>
  <c r="AJ13" i="1"/>
  <c r="AJ21" i="1"/>
  <c r="AJ117" i="1"/>
  <c r="AJ39" i="1"/>
  <c r="AJ29" i="1"/>
  <c r="AJ52" i="1"/>
  <c r="AJ72" i="1"/>
  <c r="AJ67" i="1"/>
  <c r="AJ76" i="1"/>
  <c r="AJ107" i="1"/>
  <c r="AJ54" i="1"/>
  <c r="AJ59" i="1"/>
  <c r="AJ60" i="1"/>
  <c r="AJ48" i="1"/>
  <c r="AJ101" i="1"/>
  <c r="AJ36" i="1"/>
  <c r="AJ66" i="1"/>
  <c r="AJ31" i="1"/>
  <c r="AJ46" i="1"/>
  <c r="AJ14" i="1"/>
  <c r="AJ58" i="1"/>
  <c r="AJ5" i="1"/>
  <c r="AJ68" i="1"/>
  <c r="AJ49" i="1"/>
  <c r="AJ61" i="1"/>
  <c r="AJ43" i="1"/>
  <c r="AJ103" i="1"/>
  <c r="AJ22" i="1"/>
  <c r="AJ20" i="1"/>
  <c r="AJ100" i="1"/>
  <c r="AJ64" i="1"/>
  <c r="AJ77" i="1"/>
  <c r="AJ8" i="1"/>
  <c r="AJ109" i="1"/>
  <c r="AJ119" i="1"/>
  <c r="AJ89" i="1"/>
  <c r="AJ75" i="1"/>
  <c r="AJ86" i="1"/>
  <c r="AJ63" i="1"/>
  <c r="AJ97" i="1"/>
  <c r="AJ23" i="1"/>
  <c r="AJ112" i="1"/>
  <c r="AJ83" i="1"/>
  <c r="AJ53" i="1"/>
  <c r="AJ44" i="1"/>
  <c r="AJ65" i="1"/>
  <c r="AJ34" i="1"/>
  <c r="AJ47" i="1"/>
  <c r="AJ4" i="1"/>
  <c r="AJ2" i="1"/>
  <c r="AJ121" i="1"/>
  <c r="AJ41" i="1"/>
  <c r="AJ50" i="1"/>
  <c r="AJ81" i="1"/>
  <c r="AJ93" i="1"/>
  <c r="AJ79" i="1"/>
  <c r="AJ91" i="1"/>
  <c r="AJ105" i="1"/>
  <c r="AJ37" i="1"/>
  <c r="AJ19" i="1"/>
  <c r="AJ42" i="1"/>
  <c r="AJ35" i="1"/>
  <c r="AJ69" i="1"/>
  <c r="AJ74" i="1"/>
  <c r="AJ15" i="1"/>
  <c r="AJ6" i="1"/>
  <c r="AJ32" i="1"/>
  <c r="AJ80" i="1"/>
  <c r="AJ24" i="1"/>
  <c r="AJ25" i="1"/>
  <c r="AJ104" i="1"/>
  <c r="AJ30" i="1"/>
  <c r="AJ12" i="1"/>
  <c r="AJ96" i="1"/>
  <c r="AJ110" i="1"/>
  <c r="AJ27" i="1"/>
  <c r="AJ11" i="1"/>
  <c r="AJ33" i="1"/>
  <c r="AJ40" i="1"/>
  <c r="AI55" i="1"/>
  <c r="AI16" i="1"/>
  <c r="AI28" i="1"/>
  <c r="AI38" i="1"/>
  <c r="AI92" i="1"/>
  <c r="AI18" i="1"/>
  <c r="AI62" i="1"/>
  <c r="AI56" i="1"/>
  <c r="AI10" i="1"/>
  <c r="AI7" i="1"/>
  <c r="AI45" i="1"/>
  <c r="AI111" i="1"/>
  <c r="AI51" i="1"/>
  <c r="AI108" i="1"/>
  <c r="AI85" i="1"/>
  <c r="AI17" i="1"/>
  <c r="AI84" i="1"/>
  <c r="AI9" i="1"/>
  <c r="AI13" i="1"/>
  <c r="AI21" i="1"/>
  <c r="AI117" i="1"/>
  <c r="AI39" i="1"/>
  <c r="AI29" i="1"/>
  <c r="AI52" i="1"/>
  <c r="AI72" i="1"/>
  <c r="AI67" i="1"/>
  <c r="AI76" i="1"/>
  <c r="AI107" i="1"/>
  <c r="AI54" i="1"/>
  <c r="AI59" i="1"/>
  <c r="AI60" i="1"/>
  <c r="AI48" i="1"/>
  <c r="AI101" i="1"/>
  <c r="AI36" i="1"/>
  <c r="AI66" i="1"/>
  <c r="AI31" i="1"/>
  <c r="AI46" i="1"/>
  <c r="AI14" i="1"/>
  <c r="AI58" i="1"/>
  <c r="AI5" i="1"/>
  <c r="AI68" i="1"/>
  <c r="AI49" i="1"/>
  <c r="AI61" i="1"/>
  <c r="AI43" i="1"/>
  <c r="AI103" i="1"/>
  <c r="AI22" i="1"/>
  <c r="AI20" i="1"/>
  <c r="AI100" i="1"/>
  <c r="AI64" i="1"/>
  <c r="AI77" i="1"/>
  <c r="AI8" i="1"/>
  <c r="AI109" i="1"/>
  <c r="AI119" i="1"/>
  <c r="AI89" i="1"/>
  <c r="AI75" i="1"/>
  <c r="AI86" i="1"/>
  <c r="AI63" i="1"/>
  <c r="AI97" i="1"/>
  <c r="AI23" i="1"/>
  <c r="AI112" i="1"/>
  <c r="AI83" i="1"/>
  <c r="AI53" i="1"/>
  <c r="AI44" i="1"/>
  <c r="AI65" i="1"/>
  <c r="AI34" i="1"/>
  <c r="AI47" i="1"/>
  <c r="AI4" i="1"/>
  <c r="AI2" i="1"/>
  <c r="AI121" i="1"/>
  <c r="AI41" i="1"/>
  <c r="AI50" i="1"/>
  <c r="AI81" i="1"/>
  <c r="AI93" i="1"/>
  <c r="AI79" i="1"/>
  <c r="AI91" i="1"/>
  <c r="AI105" i="1"/>
  <c r="AI37" i="1"/>
  <c r="AI19" i="1"/>
  <c r="AI42" i="1"/>
  <c r="AI35" i="1"/>
  <c r="AI69" i="1"/>
  <c r="AI74" i="1"/>
  <c r="AI15" i="1"/>
  <c r="AI6" i="1"/>
  <c r="AI32" i="1"/>
  <c r="AI80" i="1"/>
  <c r="AI24" i="1"/>
  <c r="AI25" i="1"/>
  <c r="AI104" i="1"/>
  <c r="AI30" i="1"/>
  <c r="AI12" i="1"/>
  <c r="AI96" i="1"/>
  <c r="AI110" i="1"/>
  <c r="AI27" i="1"/>
  <c r="AI11" i="1"/>
  <c r="AI33" i="1"/>
  <c r="AI40" i="1"/>
  <c r="AH55" i="1"/>
  <c r="AH16" i="1"/>
  <c r="AH28" i="1"/>
  <c r="AH38" i="1"/>
  <c r="AH92" i="1"/>
  <c r="AH18" i="1"/>
  <c r="AH62" i="1"/>
  <c r="AH56" i="1"/>
  <c r="AH10" i="1"/>
  <c r="AH7" i="1"/>
  <c r="AH45" i="1"/>
  <c r="AH111" i="1"/>
  <c r="AH51" i="1"/>
  <c r="AH108" i="1"/>
  <c r="AH85" i="1"/>
  <c r="AH17" i="1"/>
  <c r="AH84" i="1"/>
  <c r="AH9" i="1"/>
  <c r="AH13" i="1"/>
  <c r="AH21" i="1"/>
  <c r="AH117" i="1"/>
  <c r="AH39" i="1"/>
  <c r="AH29" i="1"/>
  <c r="AH52" i="1"/>
  <c r="AH72" i="1"/>
  <c r="AH67" i="1"/>
  <c r="AH76" i="1"/>
  <c r="AH107" i="1"/>
  <c r="AH54" i="1"/>
  <c r="AH59" i="1"/>
  <c r="AH60" i="1"/>
  <c r="AH48" i="1"/>
  <c r="AH101" i="1"/>
  <c r="AH36" i="1"/>
  <c r="AH66" i="1"/>
  <c r="AH31" i="1"/>
  <c r="AH46" i="1"/>
  <c r="AH14" i="1"/>
  <c r="AH58" i="1"/>
  <c r="AH5" i="1"/>
  <c r="AH68" i="1"/>
  <c r="AH49" i="1"/>
  <c r="AH61" i="1"/>
  <c r="AH43" i="1"/>
  <c r="AH103" i="1"/>
  <c r="AH22" i="1"/>
  <c r="AH20" i="1"/>
  <c r="AH100" i="1"/>
  <c r="AH64" i="1"/>
  <c r="AH77" i="1"/>
  <c r="AH8" i="1"/>
  <c r="AH109" i="1"/>
  <c r="AH119" i="1"/>
  <c r="AH89" i="1"/>
  <c r="AH75" i="1"/>
  <c r="AH86" i="1"/>
  <c r="AH63" i="1"/>
  <c r="AH97" i="1"/>
  <c r="AH23" i="1"/>
  <c r="AH112" i="1"/>
  <c r="AH83" i="1"/>
  <c r="AH53" i="1"/>
  <c r="AH44" i="1"/>
  <c r="AH65" i="1"/>
  <c r="AH34" i="1"/>
  <c r="AH47" i="1"/>
  <c r="AH4" i="1"/>
  <c r="AH2" i="1"/>
  <c r="AH121" i="1"/>
  <c r="AH41" i="1"/>
  <c r="AH50" i="1"/>
  <c r="AH81" i="1"/>
  <c r="AH93" i="1"/>
  <c r="AH79" i="1"/>
  <c r="AH91" i="1"/>
  <c r="AH105" i="1"/>
  <c r="AH37" i="1"/>
  <c r="AH19" i="1"/>
  <c r="AH42" i="1"/>
  <c r="AH35" i="1"/>
  <c r="AH69" i="1"/>
  <c r="AH74" i="1"/>
  <c r="AH15" i="1"/>
  <c r="AH6" i="1"/>
  <c r="AH32" i="1"/>
  <c r="AH80" i="1"/>
  <c r="AH24" i="1"/>
  <c r="AH25" i="1"/>
  <c r="AH104" i="1"/>
  <c r="AH30" i="1"/>
  <c r="AH12" i="1"/>
  <c r="AH96" i="1"/>
  <c r="AH110" i="1"/>
  <c r="AH27" i="1"/>
  <c r="AH11" i="1"/>
  <c r="AH33" i="1"/>
  <c r="AH40" i="1"/>
  <c r="Z79" i="1"/>
  <c r="AW79" i="1" s="1"/>
  <c r="W8" i="1"/>
  <c r="Z48" i="1"/>
  <c r="AW48" i="1" s="1"/>
  <c r="Y34" i="1"/>
  <c r="AV34" i="1" s="1"/>
  <c r="AU29" i="1" l="1"/>
  <c r="AU28" i="1"/>
  <c r="AU6" i="1"/>
  <c r="AU3" i="1"/>
  <c r="AU51" i="1"/>
  <c r="AK42" i="1"/>
  <c r="AK68" i="1"/>
  <c r="AU112" i="1"/>
  <c r="AU61" i="1"/>
  <c r="AU85" i="1"/>
  <c r="AU67" i="1"/>
  <c r="AU34" i="1"/>
  <c r="AU111" i="1"/>
  <c r="AU107" i="1"/>
  <c r="AU60" i="1"/>
  <c r="AU89" i="1"/>
  <c r="AU100" i="1"/>
  <c r="AU117" i="1"/>
  <c r="AU125" i="1"/>
  <c r="AU55" i="1"/>
  <c r="AU64" i="1"/>
  <c r="AU127" i="1"/>
  <c r="AU105" i="1"/>
  <c r="AU113" i="1"/>
  <c r="AU96" i="1"/>
  <c r="AU102" i="1"/>
  <c r="AU13" i="1"/>
  <c r="AU12" i="1"/>
  <c r="AU19" i="1"/>
  <c r="AU27" i="1"/>
  <c r="AU95" i="1"/>
  <c r="AU124" i="1"/>
  <c r="AU78" i="1"/>
  <c r="AU71" i="1"/>
  <c r="AU44" i="1"/>
  <c r="AU17" i="1"/>
  <c r="AU14" i="1"/>
  <c r="AU42" i="1"/>
  <c r="AU49" i="1"/>
  <c r="AU121" i="1"/>
  <c r="AU74" i="1"/>
  <c r="AU87" i="1"/>
  <c r="AU83" i="1"/>
  <c r="AU39" i="1"/>
  <c r="AU16" i="1"/>
  <c r="AU22" i="1"/>
  <c r="AU93" i="1"/>
  <c r="AU52" i="1"/>
  <c r="AU50" i="1"/>
  <c r="AU20" i="1"/>
  <c r="AU33" i="1"/>
  <c r="AU32" i="1"/>
  <c r="AU70" i="1"/>
  <c r="AU11" i="1"/>
  <c r="AU56" i="1"/>
  <c r="AU40" i="1"/>
  <c r="AU119" i="1"/>
  <c r="AU36" i="1"/>
  <c r="AU25" i="1"/>
  <c r="AU108" i="1"/>
  <c r="AU84" i="1"/>
  <c r="AU77" i="1"/>
  <c r="AU81" i="1"/>
  <c r="AU65" i="1"/>
  <c r="AU37" i="1"/>
  <c r="AU26" i="1"/>
  <c r="AU104" i="1"/>
  <c r="AU129" i="1"/>
  <c r="AU76" i="1"/>
  <c r="AU72" i="1"/>
  <c r="AU5" i="1"/>
  <c r="AU10" i="1"/>
  <c r="AU114" i="1"/>
  <c r="AU23" i="1"/>
  <c r="AU8" i="1"/>
  <c r="AU109" i="1"/>
  <c r="AU123" i="1"/>
  <c r="AU97" i="1"/>
  <c r="AU73" i="1"/>
  <c r="AU69" i="1"/>
  <c r="AU68" i="1"/>
  <c r="AU43" i="1"/>
  <c r="AU9" i="1"/>
  <c r="AU31" i="1"/>
  <c r="AU66" i="1"/>
  <c r="AU128" i="1"/>
  <c r="AU79" i="1"/>
  <c r="AU118" i="1"/>
  <c r="AU53" i="1"/>
  <c r="AU15" i="1"/>
  <c r="AU120" i="1"/>
  <c r="AU82" i="1"/>
  <c r="AU62" i="1"/>
  <c r="AU41" i="1"/>
  <c r="AU54" i="1"/>
  <c r="AU18" i="1"/>
  <c r="AU80" i="1"/>
  <c r="AU88" i="1"/>
  <c r="AU45" i="1"/>
  <c r="AU35" i="1"/>
  <c r="AU98" i="1"/>
  <c r="AU122" i="1"/>
  <c r="AU91" i="1"/>
  <c r="AU103" i="1"/>
  <c r="AU59" i="1"/>
  <c r="AU90" i="1"/>
  <c r="AU2" i="1"/>
  <c r="AU110" i="1"/>
  <c r="AU58" i="1"/>
  <c r="AU115" i="1"/>
  <c r="AU92" i="1"/>
  <c r="AU116" i="1"/>
  <c r="AU4" i="1"/>
  <c r="AU63" i="1"/>
  <c r="AU106" i="1"/>
  <c r="AU86" i="1"/>
  <c r="AU75" i="1"/>
  <c r="AU38" i="1"/>
  <c r="AU24" i="1"/>
  <c r="AK267" i="1"/>
  <c r="AK148" i="1"/>
  <c r="AK312" i="1"/>
  <c r="AK83" i="1"/>
  <c r="AK265" i="1"/>
  <c r="AK63" i="1"/>
  <c r="AK106" i="1"/>
  <c r="AK123" i="1"/>
  <c r="AK178" i="1"/>
  <c r="AK241" i="1"/>
  <c r="AK20" i="1"/>
  <c r="AK176" i="1"/>
  <c r="AK225" i="1"/>
  <c r="AK188" i="1"/>
  <c r="AK116" i="1"/>
  <c r="AK31" i="1"/>
  <c r="AK218" i="1"/>
  <c r="AK306" i="1"/>
  <c r="AK234" i="1"/>
  <c r="AK39" i="1"/>
  <c r="AK9" i="1"/>
  <c r="AU101" i="1"/>
  <c r="AU30" i="1"/>
  <c r="AU47" i="1"/>
  <c r="AU21" i="1"/>
  <c r="AK40" i="1"/>
  <c r="AK226" i="1"/>
  <c r="AK171" i="1"/>
  <c r="AK80" i="1"/>
  <c r="AK298" i="1"/>
  <c r="AK91" i="1"/>
  <c r="AK102" i="1"/>
  <c r="AK284" i="1"/>
  <c r="AK142" i="1"/>
  <c r="AK233" i="1"/>
  <c r="AK119" i="1"/>
  <c r="AK138" i="1"/>
  <c r="AK103" i="1"/>
  <c r="AK61" i="1"/>
  <c r="AK164" i="1"/>
  <c r="AK150" i="1"/>
  <c r="AK155" i="1"/>
  <c r="AK15" i="1"/>
  <c r="AK208" i="1"/>
  <c r="AK165" i="1"/>
  <c r="AK4" i="1"/>
  <c r="AK212" i="1"/>
  <c r="AK169" i="1"/>
  <c r="AK90" i="1"/>
  <c r="AK77" i="1"/>
  <c r="AK289" i="1"/>
  <c r="AK198" i="1"/>
  <c r="AK66" i="1"/>
  <c r="AK17" i="1"/>
  <c r="AK256" i="1"/>
  <c r="AK292" i="1"/>
  <c r="AK96" i="1"/>
  <c r="AK104" i="1"/>
  <c r="AK24" i="1"/>
  <c r="AK290" i="1"/>
  <c r="AK160" i="1"/>
  <c r="AK19" i="1"/>
  <c r="AK182" i="1"/>
  <c r="AK191" i="1"/>
  <c r="AK41" i="1"/>
  <c r="AK309" i="1"/>
  <c r="AK246" i="1"/>
  <c r="AK244" i="1"/>
  <c r="AK53" i="1"/>
  <c r="AK179" i="1"/>
  <c r="AK286" i="1"/>
  <c r="AK98" i="1"/>
  <c r="AK89" i="1"/>
  <c r="AK139" i="1"/>
  <c r="AK262" i="1"/>
  <c r="AK100" i="1"/>
  <c r="AK278" i="1"/>
  <c r="AK294" i="1"/>
  <c r="AK224" i="1"/>
  <c r="AK216" i="1"/>
  <c r="AK46" i="1"/>
  <c r="AK60" i="1"/>
  <c r="AK239" i="1"/>
  <c r="AK184" i="1"/>
  <c r="AK303" i="1"/>
  <c r="AK13" i="1"/>
  <c r="AK153" i="1"/>
  <c r="AK201" i="1"/>
  <c r="AK261" i="1"/>
  <c r="AK287" i="1"/>
  <c r="AK219" i="1"/>
  <c r="AK190" i="1"/>
  <c r="AK283" i="1"/>
  <c r="AK302" i="1"/>
  <c r="AK235" i="1"/>
  <c r="AK51" i="1"/>
  <c r="AK107" i="1"/>
  <c r="AK128" i="1"/>
  <c r="AK279" i="1"/>
  <c r="AK94" i="1"/>
  <c r="AK197" i="1"/>
  <c r="AK111" i="1"/>
  <c r="AK56" i="1"/>
  <c r="AK277" i="1"/>
  <c r="AK192" i="1"/>
  <c r="AK257" i="1"/>
  <c r="AK152" i="1"/>
  <c r="AK110" i="1"/>
  <c r="AK238" i="1"/>
  <c r="AK205" i="1"/>
  <c r="AK314" i="1"/>
  <c r="AK315" i="1"/>
  <c r="AK6" i="1"/>
  <c r="AK147" i="1"/>
  <c r="AK37" i="1"/>
  <c r="AK186" i="1"/>
  <c r="AK280" i="1"/>
  <c r="AK174" i="1"/>
  <c r="AK11" i="1"/>
  <c r="AK166" i="1"/>
  <c r="AK230" i="1"/>
  <c r="AK30" i="1"/>
  <c r="AK118" i="1"/>
  <c r="AK206" i="1"/>
  <c r="AK69" i="1"/>
  <c r="AK35" i="1"/>
  <c r="AK245" i="1"/>
  <c r="AK276" i="1"/>
  <c r="AK151" i="1"/>
  <c r="AK2" i="1"/>
  <c r="AK34" i="1"/>
  <c r="AK196" i="1"/>
  <c r="AK270" i="1"/>
  <c r="AK163" i="1"/>
  <c r="AK57" i="1"/>
  <c r="AK228" i="1"/>
  <c r="AK185" i="1"/>
  <c r="AK8" i="1"/>
  <c r="AK254" i="1"/>
  <c r="AK304" i="1"/>
  <c r="AK251" i="1"/>
  <c r="AK43" i="1"/>
  <c r="AK248" i="1"/>
  <c r="AK58" i="1"/>
  <c r="AK14" i="1"/>
  <c r="AK48" i="1"/>
  <c r="AK78" i="1"/>
  <c r="AK67" i="1"/>
  <c r="AK293" i="1"/>
  <c r="AK301" i="1"/>
  <c r="AK141" i="1"/>
  <c r="AK85" i="1"/>
  <c r="AK45" i="1"/>
  <c r="AK18" i="1"/>
  <c r="AK221" i="1"/>
  <c r="AK260" i="1"/>
  <c r="AK158" i="1"/>
  <c r="AK10" i="1"/>
  <c r="AK92" i="1"/>
  <c r="AK16" i="1"/>
  <c r="AK135" i="1"/>
  <c r="AK55" i="1"/>
  <c r="AK27" i="1"/>
  <c r="AK159" i="1"/>
  <c r="AK263" i="1"/>
  <c r="AK136" i="1"/>
  <c r="AK243" i="1"/>
  <c r="AK32" i="1"/>
  <c r="AK133" i="1"/>
  <c r="AK146" i="1"/>
  <c r="AK79" i="1"/>
  <c r="AK50" i="1"/>
  <c r="AK193" i="1"/>
  <c r="AK187" i="1"/>
  <c r="AK231" i="1"/>
  <c r="AK71" i="1"/>
  <c r="AK97" i="1"/>
  <c r="AK143" i="1"/>
  <c r="AK122" i="1"/>
  <c r="AK177" i="1"/>
  <c r="AK127" i="1"/>
  <c r="AK255" i="1"/>
  <c r="AK87" i="1"/>
  <c r="AK274" i="1"/>
  <c r="AK223" i="1"/>
  <c r="AK195" i="1"/>
  <c r="AK114" i="1"/>
  <c r="AK73" i="1"/>
  <c r="AK272" i="1"/>
  <c r="AK305" i="1"/>
  <c r="AK149" i="1"/>
  <c r="AK300" i="1"/>
  <c r="AK204" i="1"/>
  <c r="AK240" i="1"/>
  <c r="AK183" i="1"/>
  <c r="AK291" i="1"/>
  <c r="AK25" i="1"/>
  <c r="AK162" i="1"/>
  <c r="AK74" i="1"/>
  <c r="AK202" i="1"/>
  <c r="AK214" i="1"/>
  <c r="AK285" i="1"/>
  <c r="AK93" i="1"/>
  <c r="AK121" i="1"/>
  <c r="AK47" i="1"/>
  <c r="AK125" i="1"/>
  <c r="AK172" i="1"/>
  <c r="AK313" i="1"/>
  <c r="AK144" i="1"/>
  <c r="AK168" i="1"/>
  <c r="AK269" i="1"/>
  <c r="AK217" i="1"/>
  <c r="AK140" i="1"/>
  <c r="AK236" i="1"/>
  <c r="AK22" i="1"/>
  <c r="AK249" i="1"/>
  <c r="AK113" i="1"/>
  <c r="AK5" i="1"/>
  <c r="AK222" i="1"/>
  <c r="AK36" i="1"/>
  <c r="AK207" i="1"/>
  <c r="AK288" i="1"/>
  <c r="AK72" i="1"/>
  <c r="AK117" i="1"/>
  <c r="AK131" i="1"/>
  <c r="AK215" i="1"/>
  <c r="AK227" i="1"/>
  <c r="AK273" i="1"/>
  <c r="AK38" i="1"/>
  <c r="AK82" i="1"/>
  <c r="AK199" i="1"/>
  <c r="AK161" i="1"/>
  <c r="AK33" i="1"/>
  <c r="AK203" i="1"/>
  <c r="AK126" i="1"/>
  <c r="AK12" i="1"/>
  <c r="AK296" i="1"/>
  <c r="AK132" i="1"/>
  <c r="AK88" i="1"/>
  <c r="AK170" i="1"/>
  <c r="AK308" i="1"/>
  <c r="AK242" i="1"/>
  <c r="AK81" i="1"/>
  <c r="AK129" i="1"/>
  <c r="AK180" i="1"/>
  <c r="AK44" i="1"/>
  <c r="AK250" i="1"/>
  <c r="AK112" i="1"/>
  <c r="AK268" i="1"/>
  <c r="AK86" i="1"/>
  <c r="AK75" i="1"/>
  <c r="AK109" i="1"/>
  <c r="AK266" i="1"/>
  <c r="AK64" i="1"/>
  <c r="AK209" i="1"/>
  <c r="AK3" i="1"/>
  <c r="AK49" i="1"/>
  <c r="AK281" i="1"/>
  <c r="AK124" i="1"/>
  <c r="AK101" i="1"/>
  <c r="AK59" i="1"/>
  <c r="AK76" i="1"/>
  <c r="AK52" i="1"/>
  <c r="AK275" i="1"/>
  <c r="AK259" i="1"/>
  <c r="AK134" i="1"/>
  <c r="AK167" i="1"/>
  <c r="AK62" i="1"/>
  <c r="AK213" i="1"/>
  <c r="AK137" i="1"/>
  <c r="AK29" i="1"/>
  <c r="AK21" i="1"/>
  <c r="AK84" i="1"/>
  <c r="AK108" i="1"/>
  <c r="AK145" i="1"/>
  <c r="AK299" i="1"/>
  <c r="AK28" i="1"/>
  <c r="AK252" i="1"/>
  <c r="AK295" i="1"/>
  <c r="AK95" i="1"/>
  <c r="AK194" i="1"/>
  <c r="AK189" i="1"/>
  <c r="AK297" i="1"/>
  <c r="AK157" i="1"/>
  <c r="AK232" i="1"/>
  <c r="AK282" i="1"/>
  <c r="AK26" i="1"/>
  <c r="AK105" i="1"/>
  <c r="AK115" i="1"/>
  <c r="AK271" i="1"/>
  <c r="AK181" i="1"/>
  <c r="AK65" i="1"/>
  <c r="AK307" i="1"/>
  <c r="AK253" i="1"/>
  <c r="AK23" i="1"/>
  <c r="AK247" i="1"/>
  <c r="AK70" i="1"/>
  <c r="AK211" i="1"/>
  <c r="AK264" i="1"/>
  <c r="AK258" i="1"/>
  <c r="AK156" i="1"/>
  <c r="AK220" i="1"/>
  <c r="AK175" i="1"/>
  <c r="AK99" i="1"/>
  <c r="AK154" i="1"/>
  <c r="AK310" i="1"/>
  <c r="AK54" i="1"/>
  <c r="AK311" i="1"/>
  <c r="AK130" i="1"/>
  <c r="AK200" i="1"/>
  <c r="AK173" i="1"/>
  <c r="AK229" i="1"/>
  <c r="AK7" i="1"/>
  <c r="AK210" i="1"/>
  <c r="AK237" i="1"/>
  <c r="AK120" i="1"/>
  <c r="Y46" i="1"/>
  <c r="AV46" i="1" s="1"/>
  <c r="Y97" i="1"/>
  <c r="AV97" i="1" s="1"/>
  <c r="W97" i="1"/>
  <c r="X97" i="1" s="1"/>
  <c r="Z53" i="1"/>
  <c r="AW53" i="1" s="1"/>
  <c r="Y53" i="1"/>
  <c r="AV53" i="1" s="1"/>
  <c r="BC18" i="1" l="1"/>
  <c r="BC61" i="1"/>
  <c r="Z97" i="1"/>
  <c r="AW97" i="1" s="1"/>
  <c r="Z46" i="1"/>
  <c r="Z86" i="1"/>
  <c r="AW86" i="1" s="1"/>
  <c r="Y86" i="1"/>
  <c r="AV86" i="1" s="1"/>
  <c r="BB86" i="1" l="1"/>
  <c r="AA46" i="1"/>
  <c r="AX46" i="1" s="1"/>
  <c r="AW46" i="1"/>
  <c r="AA97" i="1"/>
  <c r="AX97" i="1" s="1"/>
  <c r="BB97" i="1" s="1"/>
  <c r="BC97" i="1" s="1"/>
  <c r="Z9" i="1"/>
  <c r="AW9" i="1" s="1"/>
  <c r="Y9" i="1"/>
  <c r="AV9" i="1" s="1"/>
  <c r="Z35" i="1"/>
  <c r="AW35" i="1" s="1"/>
  <c r="Y35" i="1"/>
  <c r="AV35" i="1" s="1"/>
  <c r="Z75" i="1"/>
  <c r="AW75" i="1" s="1"/>
  <c r="Y75" i="1"/>
  <c r="AV75" i="1" s="1"/>
  <c r="Y58" i="1"/>
  <c r="AV58" i="1" s="1"/>
  <c r="Z66" i="1"/>
  <c r="AW66" i="1" s="1"/>
  <c r="BB9" i="1" l="1"/>
  <c r="BC9" i="1" s="1"/>
  <c r="BB35" i="1"/>
  <c r="BC35" i="1" s="1"/>
  <c r="BB75" i="1"/>
  <c r="BC75" i="1" s="1"/>
  <c r="Z58" i="1"/>
  <c r="AW58" i="1" s="1"/>
  <c r="Y112" i="1"/>
  <c r="AV112" i="1" s="1"/>
  <c r="BB112" i="1" s="1"/>
  <c r="BC112" i="1" s="1"/>
  <c r="AA58" i="1" l="1"/>
  <c r="AX58" i="1" s="1"/>
  <c r="BB58" i="1" s="1"/>
  <c r="BC58" i="1" s="1"/>
  <c r="Y108" i="1"/>
  <c r="AV108" i="1" s="1"/>
  <c r="W55" i="1"/>
  <c r="W16" i="1"/>
  <c r="Z103" i="1"/>
  <c r="AW103" i="1" s="1"/>
  <c r="Y103" i="1"/>
  <c r="AV103" i="1" s="1"/>
  <c r="W91" i="1"/>
  <c r="Z104" i="1"/>
  <c r="AW104" i="1" s="1"/>
  <c r="Y104" i="1"/>
  <c r="AV104" i="1" s="1"/>
  <c r="BB103" i="1" l="1"/>
  <c r="BC103" i="1" s="1"/>
  <c r="BB104" i="1"/>
  <c r="BC104" i="1" s="1"/>
  <c r="Z83" i="1"/>
  <c r="AW83" i="1" s="1"/>
  <c r="Y83" i="1"/>
  <c r="AV83" i="1" s="1"/>
  <c r="BB83" i="1" l="1"/>
  <c r="BC83" i="1" s="1"/>
  <c r="Z56" i="1"/>
  <c r="AW56" i="1" s="1"/>
  <c r="Y56" i="1"/>
  <c r="AV56" i="1" s="1"/>
  <c r="Z23" i="1"/>
  <c r="AW23" i="1" s="1"/>
  <c r="Y23" i="1"/>
  <c r="AV23" i="1" s="1"/>
  <c r="BB23" i="1" l="1"/>
  <c r="BC23" i="1" s="1"/>
  <c r="BB56" i="1"/>
  <c r="BC56" i="1" s="1"/>
  <c r="Y79" i="1"/>
  <c r="AV79" i="1" s="1"/>
  <c r="Z50" i="1"/>
  <c r="AW50" i="1" s="1"/>
  <c r="Y50" i="1"/>
  <c r="AV50" i="1" s="1"/>
  <c r="Z40" i="1"/>
  <c r="AW40" i="1" s="1"/>
  <c r="Y40" i="1"/>
  <c r="AV40" i="1" s="1"/>
  <c r="BB40" i="1" s="1"/>
  <c r="BC40" i="1" s="1"/>
  <c r="Z4" i="1"/>
  <c r="AW4" i="1" s="1"/>
  <c r="Y4" i="1"/>
  <c r="AV4" i="1" s="1"/>
  <c r="Z15" i="1"/>
  <c r="AW15" i="1" s="1"/>
  <c r="Y15" i="1"/>
  <c r="AV15" i="1" s="1"/>
  <c r="Z6" i="1"/>
  <c r="AW6" i="1" s="1"/>
  <c r="Y6" i="1"/>
  <c r="AV6" i="1" s="1"/>
  <c r="P30" i="1"/>
  <c r="P44" i="1"/>
  <c r="Q44" i="1" s="1"/>
  <c r="AM44" i="1" s="1"/>
  <c r="AO44" i="1" s="1"/>
  <c r="Z7" i="1"/>
  <c r="AW7" i="1" s="1"/>
  <c r="Y7" i="1"/>
  <c r="AV7" i="1" s="1"/>
  <c r="AB32" i="1"/>
  <c r="AY32" i="1" s="1"/>
  <c r="Z32" i="1"/>
  <c r="AW32" i="1" s="1"/>
  <c r="Y32" i="1"/>
  <c r="AV32" i="1" s="1"/>
  <c r="BB6" i="1" l="1"/>
  <c r="BB7" i="1"/>
  <c r="BC7" i="1" s="1"/>
  <c r="BB4" i="1"/>
  <c r="BC4" i="1" s="1"/>
  <c r="BB32" i="1"/>
  <c r="BC32" i="1" s="1"/>
  <c r="BB15" i="1"/>
  <c r="BC15" i="1" s="1"/>
  <c r="Y48" i="1"/>
  <c r="AV48" i="1" s="1"/>
  <c r="BB48" i="1" s="1"/>
  <c r="BC48" i="1" s="1"/>
  <c r="Z19" i="1"/>
  <c r="AW19" i="1" s="1"/>
  <c r="Z85" i="1" l="1"/>
  <c r="AW85" i="1" s="1"/>
  <c r="Y85" i="1"/>
  <c r="AV85" i="1" s="1"/>
  <c r="BB85" i="1" l="1"/>
  <c r="N21" i="1"/>
  <c r="O21" i="1" s="1"/>
  <c r="AL21" i="1" s="1"/>
  <c r="AO21" i="1" s="1"/>
  <c r="Z5" i="1"/>
  <c r="AW5" i="1" s="1"/>
  <c r="Y5" i="1"/>
  <c r="AV5" i="1" s="1"/>
  <c r="BB5" i="1" l="1"/>
  <c r="BC5" i="1" s="1"/>
  <c r="Z41" i="1"/>
  <c r="AW41" i="1" s="1"/>
  <c r="Y41" i="1"/>
  <c r="AV41" i="1" s="1"/>
  <c r="Z13" i="1"/>
  <c r="AW13" i="1" s="1"/>
  <c r="Y13" i="1"/>
  <c r="AV13" i="1" s="1"/>
  <c r="BB41" i="1" l="1"/>
  <c r="BC41" i="1" s="1"/>
  <c r="BB13" i="1"/>
  <c r="BC13" i="1" s="1"/>
  <c r="Z33" i="1"/>
  <c r="AW33" i="1" s="1"/>
  <c r="Y33" i="1"/>
  <c r="AV33" i="1" s="1"/>
  <c r="Z62" i="1" l="1"/>
  <c r="AW62" i="1" s="1"/>
  <c r="Y62" i="1"/>
  <c r="AV62" i="1" s="1"/>
  <c r="Z92" i="1"/>
  <c r="AW92" i="1" s="1"/>
  <c r="Y92" i="1"/>
  <c r="AV92" i="1" s="1"/>
  <c r="BB92" i="1" l="1"/>
  <c r="BB62" i="1"/>
  <c r="BC62" i="1" s="1"/>
  <c r="Z84" i="1"/>
  <c r="AW84" i="1" s="1"/>
  <c r="Y84" i="1"/>
  <c r="AV84" i="1" s="1"/>
  <c r="Z101" i="1"/>
  <c r="AW101" i="1" s="1"/>
  <c r="Y101" i="1"/>
  <c r="AV101" i="1" s="1"/>
  <c r="Z27" i="1"/>
  <c r="AW27" i="1" s="1"/>
  <c r="Y27" i="1"/>
  <c r="AV27" i="1" s="1"/>
  <c r="BB101" i="1" l="1"/>
  <c r="BB27" i="1"/>
  <c r="BC27" i="1" s="1"/>
  <c r="BB84" i="1"/>
  <c r="BC84" i="1" s="1"/>
  <c r="Z39" i="1"/>
  <c r="AW39" i="1" s="1"/>
  <c r="Y39" i="1"/>
  <c r="AV39" i="1" s="1"/>
  <c r="BB39" i="1" l="1"/>
  <c r="BC39" i="1" s="1"/>
  <c r="Z10" i="1"/>
  <c r="AW10" i="1" s="1"/>
  <c r="Y10" i="1"/>
  <c r="AV10" i="1" s="1"/>
  <c r="Z111" i="1"/>
  <c r="AW111" i="1" s="1"/>
  <c r="Y111" i="1"/>
  <c r="AV111" i="1" s="1"/>
  <c r="Z96" i="1"/>
  <c r="AW96" i="1" s="1"/>
  <c r="Y96" i="1"/>
  <c r="AV96" i="1" s="1"/>
  <c r="Z28" i="1"/>
  <c r="AW28" i="1" s="1"/>
  <c r="Y28" i="1"/>
  <c r="AV28" i="1" s="1"/>
  <c r="Z25" i="1"/>
  <c r="AW25" i="1" s="1"/>
  <c r="Y25" i="1"/>
  <c r="AV25" i="1" s="1"/>
  <c r="Z49" i="1"/>
  <c r="AW49" i="1" s="1"/>
  <c r="Y49" i="1"/>
  <c r="AV49" i="1" s="1"/>
  <c r="Z93" i="1"/>
  <c r="AW93" i="1" s="1"/>
  <c r="Y93" i="1"/>
  <c r="AV93" i="1" s="1"/>
  <c r="Z77" i="1"/>
  <c r="AW77" i="1" s="1"/>
  <c r="Y77" i="1"/>
  <c r="AV77" i="1" s="1"/>
  <c r="Z22" i="1"/>
  <c r="AW22" i="1" s="1"/>
  <c r="Y22" i="1"/>
  <c r="AV22" i="1" s="1"/>
  <c r="Z59" i="1"/>
  <c r="AW59" i="1" s="1"/>
  <c r="P59" i="1"/>
  <c r="Q59" i="1" s="1"/>
  <c r="AM59" i="1" s="1"/>
  <c r="AO59" i="1" s="1"/>
  <c r="Y66" i="1"/>
  <c r="AV66" i="1" s="1"/>
  <c r="BB66" i="1" s="1"/>
  <c r="P34" i="1"/>
  <c r="Q34" i="1" s="1"/>
  <c r="AM34" i="1" s="1"/>
  <c r="AO34" i="1" s="1"/>
  <c r="Z34" i="1"/>
  <c r="AW34" i="1" s="1"/>
  <c r="BB34" i="1" s="1"/>
  <c r="Y59" i="1"/>
  <c r="AV59" i="1" s="1"/>
  <c r="Z20" i="1"/>
  <c r="AW20" i="1" s="1"/>
  <c r="BB20" i="1" s="1"/>
  <c r="BC20" i="1" s="1"/>
  <c r="Z38" i="1"/>
  <c r="AW38" i="1" s="1"/>
  <c r="Y38" i="1"/>
  <c r="AV38" i="1" s="1"/>
  <c r="Y8" i="1"/>
  <c r="AV8" i="1" s="1"/>
  <c r="Z55" i="1"/>
  <c r="AW55" i="1" s="1"/>
  <c r="Y55" i="1"/>
  <c r="AV55" i="1" s="1"/>
  <c r="N55" i="1"/>
  <c r="Z42" i="1"/>
  <c r="AW42" i="1" s="1"/>
  <c r="Y42" i="1"/>
  <c r="AV42" i="1" s="1"/>
  <c r="Y91" i="1"/>
  <c r="AV91" i="1" s="1"/>
  <c r="Z91" i="1"/>
  <c r="AW91" i="1" s="1"/>
  <c r="Z67" i="1"/>
  <c r="AW67" i="1" s="1"/>
  <c r="Y67" i="1"/>
  <c r="AV67" i="1" s="1"/>
  <c r="Z52" i="1"/>
  <c r="AW52" i="1" s="1"/>
  <c r="Y52" i="1"/>
  <c r="AV52" i="1" s="1"/>
  <c r="Z12" i="1"/>
  <c r="AW12" i="1" s="1"/>
  <c r="Y12" i="1"/>
  <c r="AV12" i="1" s="1"/>
  <c r="Z51" i="1"/>
  <c r="AW51" i="1" s="1"/>
  <c r="Y51" i="1"/>
  <c r="AV51" i="1" s="1"/>
  <c r="Z17" i="1"/>
  <c r="AW17" i="1" s="1"/>
  <c r="Y17" i="1"/>
  <c r="AV17" i="1" s="1"/>
  <c r="P17" i="1"/>
  <c r="Q17" i="1" s="1"/>
  <c r="AM17" i="1" s="1"/>
  <c r="AO17" i="1" s="1"/>
  <c r="Y19" i="1"/>
  <c r="AV19" i="1" s="1"/>
  <c r="Y16" i="1"/>
  <c r="AV16" i="1" s="1"/>
  <c r="Z16" i="1"/>
  <c r="AW16" i="1" s="1"/>
  <c r="P16" i="1"/>
  <c r="Q16" i="1" s="1"/>
  <c r="AM16" i="1" s="1"/>
  <c r="AO16" i="1" s="1"/>
  <c r="Z2" i="1"/>
  <c r="AW2" i="1" s="1"/>
  <c r="Y2" i="1"/>
  <c r="AV2" i="1" s="1"/>
  <c r="BB2" i="1" s="1"/>
  <c r="BC2" i="1" s="1"/>
  <c r="Z68" i="1"/>
  <c r="AW68" i="1" s="1"/>
  <c r="Y68" i="1"/>
  <c r="AV68" i="1" s="1"/>
  <c r="Z54" i="1"/>
  <c r="AW54" i="1" s="1"/>
  <c r="Y54" i="1"/>
  <c r="AV54" i="1" s="1"/>
  <c r="Y64" i="1"/>
  <c r="AV64" i="1" s="1"/>
  <c r="Z64" i="1"/>
  <c r="AW64" i="1" s="1"/>
  <c r="Z60" i="1"/>
  <c r="AW60" i="1" s="1"/>
  <c r="Y60" i="1"/>
  <c r="AV60" i="1" s="1"/>
  <c r="BB60" i="1" s="1"/>
  <c r="BC60" i="1" s="1"/>
  <c r="Z100" i="1"/>
  <c r="AW100" i="1" s="1"/>
  <c r="Y100" i="1"/>
  <c r="AV100" i="1" s="1"/>
  <c r="Z76" i="1"/>
  <c r="AW76" i="1" s="1"/>
  <c r="Y76" i="1"/>
  <c r="AV76" i="1" s="1"/>
  <c r="Z45" i="1"/>
  <c r="AW45" i="1" s="1"/>
  <c r="Y45" i="1"/>
  <c r="AV45" i="1" s="1"/>
  <c r="Z11" i="1"/>
  <c r="AW11" i="1" s="1"/>
  <c r="Y11" i="1"/>
  <c r="AV11" i="1" s="1"/>
  <c r="BB11" i="1" s="1"/>
  <c r="BC11" i="1" s="1"/>
  <c r="Z24" i="1"/>
  <c r="AW24" i="1" s="1"/>
  <c r="Y24" i="1"/>
  <c r="AV24" i="1" s="1"/>
  <c r="Z14" i="1"/>
  <c r="AW14" i="1" s="1"/>
  <c r="Y14" i="1"/>
  <c r="AV14" i="1" s="1"/>
  <c r="BB28" i="1" l="1"/>
  <c r="BC28" i="1" s="1"/>
  <c r="BB49" i="1"/>
  <c r="BC49" i="1" s="1"/>
  <c r="BB111" i="1"/>
  <c r="BC111" i="1" s="1"/>
  <c r="BB59" i="1"/>
  <c r="BC59" i="1" s="1"/>
  <c r="BB17" i="1"/>
  <c r="BC17" i="1" s="1"/>
  <c r="BB76" i="1"/>
  <c r="BC76" i="1" s="1"/>
  <c r="BC34" i="1"/>
  <c r="BB54" i="1"/>
  <c r="BC54" i="1" s="1"/>
  <c r="BB67" i="1"/>
  <c r="BC67" i="1" s="1"/>
  <c r="BB91" i="1"/>
  <c r="BC91" i="1" s="1"/>
  <c r="BB16" i="1"/>
  <c r="BC16" i="1" s="1"/>
  <c r="BB24" i="1"/>
  <c r="BC24" i="1" s="1"/>
  <c r="BB100" i="1"/>
  <c r="BC100" i="1" s="1"/>
  <c r="BB68" i="1"/>
  <c r="BC68" i="1" s="1"/>
  <c r="BB55" i="1"/>
  <c r="BB93" i="1"/>
  <c r="BC93" i="1" s="1"/>
  <c r="BB96" i="1"/>
  <c r="BC96" i="1" s="1"/>
  <c r="BB51" i="1"/>
  <c r="BB45" i="1"/>
  <c r="BC45" i="1" s="1"/>
  <c r="BB22" i="1"/>
  <c r="BC22" i="1" s="1"/>
  <c r="BB25" i="1"/>
  <c r="BC25" i="1" s="1"/>
  <c r="BB10" i="1"/>
  <c r="BC10" i="1" s="1"/>
  <c r="BB38" i="1"/>
  <c r="BC38" i="1" s="1"/>
  <c r="BB12" i="1"/>
  <c r="BC12" i="1" s="1"/>
  <c r="BB42" i="1"/>
  <c r="BC42" i="1" s="1"/>
  <c r="AA64" i="1"/>
  <c r="AX64" i="1" s="1"/>
  <c r="AA77" i="1"/>
  <c r="AX77" i="1" s="1"/>
  <c r="BB77" i="1" s="1"/>
  <c r="BC77" i="1" s="1"/>
  <c r="P55" i="1"/>
  <c r="O55" i="1"/>
  <c r="Z8" i="1"/>
  <c r="AW8" i="1" s="1"/>
  <c r="Z108" i="1"/>
  <c r="AW108" i="1" s="1"/>
  <c r="Z109" i="1"/>
  <c r="AW109" i="1" s="1"/>
  <c r="Y109" i="1"/>
  <c r="AV109" i="1" s="1"/>
  <c r="Z29" i="1"/>
  <c r="AW29" i="1" s="1"/>
  <c r="Y29" i="1"/>
  <c r="AV29" i="1" s="1"/>
  <c r="BB109" i="1" l="1"/>
  <c r="BC109" i="1" s="1"/>
  <c r="BB29" i="1"/>
  <c r="BC29" i="1" s="1"/>
  <c r="Q55" i="1"/>
  <c r="AM55" i="1" s="1"/>
  <c r="AL55" i="1"/>
  <c r="AA8" i="1"/>
  <c r="AX8" i="1" s="1"/>
  <c r="BB8" i="1" s="1"/>
  <c r="BC8" i="1" s="1"/>
  <c r="AO55" i="1" l="1"/>
  <c r="BC55" i="1" s="1"/>
</calcChain>
</file>

<file path=xl/sharedStrings.xml><?xml version="1.0" encoding="utf-8"?>
<sst xmlns="http://schemas.openxmlformats.org/spreadsheetml/2006/main" count="3848" uniqueCount="889">
  <si>
    <t>Estado</t>
  </si>
  <si>
    <t>Reg_Intermed</t>
  </si>
  <si>
    <t>Reg_Imedi</t>
  </si>
  <si>
    <t>Municip</t>
  </si>
  <si>
    <t>REGIC_2018</t>
  </si>
  <si>
    <t>Particip_UE</t>
  </si>
  <si>
    <t>Particip_MH</t>
  </si>
  <si>
    <t>Modelo_DI</t>
  </si>
  <si>
    <t>Status</t>
  </si>
  <si>
    <t>Valor_total_UE</t>
  </si>
  <si>
    <t>Valor_total_MH</t>
  </si>
  <si>
    <t>Porcen_Invest_UE</t>
  </si>
  <si>
    <t>Valor_PC_UE</t>
  </si>
  <si>
    <t>Valor_PC_MH</t>
  </si>
  <si>
    <t>Porcen_Invest_MH</t>
  </si>
  <si>
    <t>Ciclos_OP</t>
  </si>
  <si>
    <t>Numero_total_edicoes</t>
  </si>
  <si>
    <t>GEOCOD_IBGE</t>
  </si>
  <si>
    <t>Rio Branco</t>
  </si>
  <si>
    <t>AC</t>
  </si>
  <si>
    <t>Arapiraca</t>
  </si>
  <si>
    <t>AL</t>
  </si>
  <si>
    <t>Maceió</t>
  </si>
  <si>
    <t>AM</t>
  </si>
  <si>
    <t>Manaus</t>
  </si>
  <si>
    <t>AP</t>
  </si>
  <si>
    <t>Macapá</t>
  </si>
  <si>
    <t>BA</t>
  </si>
  <si>
    <t>Alagoinhas</t>
  </si>
  <si>
    <t>Camaçari</t>
  </si>
  <si>
    <t>Eunápolis</t>
  </si>
  <si>
    <t>Ilhéus</t>
  </si>
  <si>
    <t>Irecê</t>
  </si>
  <si>
    <t>Itabuna</t>
  </si>
  <si>
    <t>Juazeiro</t>
  </si>
  <si>
    <t>Paulo Afonso</t>
  </si>
  <si>
    <t>Salvador</t>
  </si>
  <si>
    <t>Senhor do Bonfim</t>
  </si>
  <si>
    <t>Simões Filho</t>
  </si>
  <si>
    <t>Teixeira de Freitas</t>
  </si>
  <si>
    <t>Vitória da Conquista</t>
  </si>
  <si>
    <t>CE</t>
  </si>
  <si>
    <t>Caucaia</t>
  </si>
  <si>
    <t>Crato</t>
  </si>
  <si>
    <t>Fortaleza</t>
  </si>
  <si>
    <t>Iguatu</t>
  </si>
  <si>
    <t>Juazeiro do Norte</t>
  </si>
  <si>
    <t>Maracanaú</t>
  </si>
  <si>
    <t>Sobral</t>
  </si>
  <si>
    <t>DF</t>
  </si>
  <si>
    <t>Brasília</t>
  </si>
  <si>
    <t>SE</t>
  </si>
  <si>
    <t>ES</t>
  </si>
  <si>
    <t>Colatina</t>
  </si>
  <si>
    <t>Guarapari</t>
  </si>
  <si>
    <t>Linhares</t>
  </si>
  <si>
    <t>São Mateus</t>
  </si>
  <si>
    <t>Vitória</t>
  </si>
  <si>
    <t>GO</t>
  </si>
  <si>
    <t>Águas Lindas de Goiás</t>
  </si>
  <si>
    <t>Anápolis</t>
  </si>
  <si>
    <t>Goianésia</t>
  </si>
  <si>
    <t>Goiânia</t>
  </si>
  <si>
    <t>MA</t>
  </si>
  <si>
    <t>Codó</t>
  </si>
  <si>
    <t>Imperatriz</t>
  </si>
  <si>
    <t>Paço do Lumiar</t>
  </si>
  <si>
    <t>São Luís</t>
  </si>
  <si>
    <t>Timon</t>
  </si>
  <si>
    <t>Viana</t>
  </si>
  <si>
    <t>MG</t>
  </si>
  <si>
    <t>Alfenas</t>
  </si>
  <si>
    <t>Araxá</t>
  </si>
  <si>
    <t>Barbacena</t>
  </si>
  <si>
    <t>Belo Horizonte</t>
  </si>
  <si>
    <t>Caratinga</t>
  </si>
  <si>
    <t>Coronel Fabriciano</t>
  </si>
  <si>
    <t>Divinópolis</t>
  </si>
  <si>
    <t>Esmeraldas</t>
  </si>
  <si>
    <t>Formiga</t>
  </si>
  <si>
    <t>Governador Valadares</t>
  </si>
  <si>
    <t>Guaxupé</t>
  </si>
  <si>
    <t>Ipatinga</t>
  </si>
  <si>
    <t>Itabira</t>
  </si>
  <si>
    <t>Itajubá</t>
  </si>
  <si>
    <t>Itaúna</t>
  </si>
  <si>
    <t>João Monlevade</t>
  </si>
  <si>
    <t>Juiz de Fora</t>
  </si>
  <si>
    <t>Manhuaçu</t>
  </si>
  <si>
    <t>Montes Claros</t>
  </si>
  <si>
    <t>Ouro Preto</t>
  </si>
  <si>
    <t>Paracatu</t>
  </si>
  <si>
    <t>Patos de Minas</t>
  </si>
  <si>
    <t>Patrocínio</t>
  </si>
  <si>
    <t>Poços de Caldas</t>
  </si>
  <si>
    <t>Pouso Alegre</t>
  </si>
  <si>
    <t>Ribeirão das Neves</t>
  </si>
  <si>
    <t>Teófilo Otoni</t>
  </si>
  <si>
    <t>Varginha</t>
  </si>
  <si>
    <t>Viçosa</t>
  </si>
  <si>
    <t>Caxias do Sul</t>
  </si>
  <si>
    <t>Conselheiro Lafaiete</t>
  </si>
  <si>
    <t>Uberlândia</t>
  </si>
  <si>
    <t>MS</t>
  </si>
  <si>
    <t>Campo Grande</t>
  </si>
  <si>
    <t>Dourados</t>
  </si>
  <si>
    <t>Cuiabá</t>
  </si>
  <si>
    <t>Várzea Grande</t>
  </si>
  <si>
    <t>PA</t>
  </si>
  <si>
    <t>Ananindeua</t>
  </si>
  <si>
    <t>Belém</t>
  </si>
  <si>
    <t>Itaituba</t>
  </si>
  <si>
    <t>Santarém</t>
  </si>
  <si>
    <t>PB</t>
  </si>
  <si>
    <t>Campina Grande</t>
  </si>
  <si>
    <t>João Pessoa</t>
  </si>
  <si>
    <t>Patos</t>
  </si>
  <si>
    <t>PE</t>
  </si>
  <si>
    <t>Cabo de Santo Agostinho</t>
  </si>
  <si>
    <t>Camaragibe</t>
  </si>
  <si>
    <t>Caruaru</t>
  </si>
  <si>
    <t>Garanhuns</t>
  </si>
  <si>
    <t>Jaboatão dos Guararapes</t>
  </si>
  <si>
    <t>Paulista</t>
  </si>
  <si>
    <t>Recife</t>
  </si>
  <si>
    <t>Salgueiro</t>
  </si>
  <si>
    <t>PI</t>
  </si>
  <si>
    <t>Campo Maior</t>
  </si>
  <si>
    <t>Parnaíba</t>
  </si>
  <si>
    <t>Piripiri</t>
  </si>
  <si>
    <t>Teresina</t>
  </si>
  <si>
    <t>PR</t>
  </si>
  <si>
    <t>Almirante Tamandaré</t>
  </si>
  <si>
    <t>Apucarana</t>
  </si>
  <si>
    <t>Campo Mourão</t>
  </si>
  <si>
    <t>Cascavel</t>
  </si>
  <si>
    <t>Curitiba</t>
  </si>
  <si>
    <t>Foz do Iguaçu</t>
  </si>
  <si>
    <t>Francisco Beltrão</t>
  </si>
  <si>
    <t>Londrina</t>
  </si>
  <si>
    <t>Maringá</t>
  </si>
  <si>
    <t>Paranavaí</t>
  </si>
  <si>
    <t>Ponta Grossa</t>
  </si>
  <si>
    <t>São José dos Pinhais</t>
  </si>
  <si>
    <t>Umuarama</t>
  </si>
  <si>
    <t>União da Vitória</t>
  </si>
  <si>
    <t>RJ</t>
  </si>
  <si>
    <t>Angra dos Reis</t>
  </si>
  <si>
    <t>Barra do Piraí</t>
  </si>
  <si>
    <t>Barra Mansa</t>
  </si>
  <si>
    <t>Campos dos Goytacazes</t>
  </si>
  <si>
    <t>Duque de Caxias</t>
  </si>
  <si>
    <t>Nilópolis</t>
  </si>
  <si>
    <t>Petrópolis</t>
  </si>
  <si>
    <t>Resende</t>
  </si>
  <si>
    <t>Rio de Janeiro</t>
  </si>
  <si>
    <t>São João de Meriti</t>
  </si>
  <si>
    <t>Teresópolis</t>
  </si>
  <si>
    <t>Volta Redonda</t>
  </si>
  <si>
    <t>RN</t>
  </si>
  <si>
    <t>Natal</t>
  </si>
  <si>
    <t>RO</t>
  </si>
  <si>
    <t>Porto Velho</t>
  </si>
  <si>
    <t>Cacoal</t>
  </si>
  <si>
    <t>Ji-Paraná</t>
  </si>
  <si>
    <t>RR</t>
  </si>
  <si>
    <t>Boa Vista</t>
  </si>
  <si>
    <t>RS</t>
  </si>
  <si>
    <t>Alvorada</t>
  </si>
  <si>
    <t>Bagé</t>
  </si>
  <si>
    <t>Bento Gonçalves</t>
  </si>
  <si>
    <t>Cachoeirinha</t>
  </si>
  <si>
    <t>Cruz Alta</t>
  </si>
  <si>
    <t>Erechim</t>
  </si>
  <si>
    <t>Esteio</t>
  </si>
  <si>
    <t>Gravataí</t>
  </si>
  <si>
    <t>Ijuí</t>
  </si>
  <si>
    <t>Passo Fundo</t>
  </si>
  <si>
    <t>Pelotas</t>
  </si>
  <si>
    <t>Porto Alegre</t>
  </si>
  <si>
    <t>Santa Maria</t>
  </si>
  <si>
    <t>Santa Rosa</t>
  </si>
  <si>
    <t>São Gabriel</t>
  </si>
  <si>
    <t>Vacaria</t>
  </si>
  <si>
    <t>Venâncio Aires</t>
  </si>
  <si>
    <t>Viamão</t>
  </si>
  <si>
    <t>SC</t>
  </si>
  <si>
    <t>Blumenau</t>
  </si>
  <si>
    <t>Brusque</t>
  </si>
  <si>
    <t>Chapecó</t>
  </si>
  <si>
    <t>Concórdia</t>
  </si>
  <si>
    <t>Criciúma</t>
  </si>
  <si>
    <t>Florianópolis</t>
  </si>
  <si>
    <t>Itajaí</t>
  </si>
  <si>
    <t>Joinville</t>
  </si>
  <si>
    <t>Lages</t>
  </si>
  <si>
    <t>Laguna</t>
  </si>
  <si>
    <t>Rio do Sul</t>
  </si>
  <si>
    <t>São José</t>
  </si>
  <si>
    <t>Aracaju</t>
  </si>
  <si>
    <t>São Cristóvão</t>
  </si>
  <si>
    <t>SP</t>
  </si>
  <si>
    <t>Americana</t>
  </si>
  <si>
    <t>Amparo</t>
  </si>
  <si>
    <t>Andradina</t>
  </si>
  <si>
    <t>Araçatuba</t>
  </si>
  <si>
    <t>Araraquara</t>
  </si>
  <si>
    <t>Araras</t>
  </si>
  <si>
    <t>Atibaia</t>
  </si>
  <si>
    <t>Avaré</t>
  </si>
  <si>
    <t>Bauru</t>
  </si>
  <si>
    <t>Bebedouro</t>
  </si>
  <si>
    <t>Botucatu</t>
  </si>
  <si>
    <t>Caçapava</t>
  </si>
  <si>
    <t>Caieiras</t>
  </si>
  <si>
    <t>Campinas</t>
  </si>
  <si>
    <t>Campo Limpo Paulista</t>
  </si>
  <si>
    <t>Carapicuíba</t>
  </si>
  <si>
    <t>Catanduva</t>
  </si>
  <si>
    <t>Embu-Guaçu</t>
  </si>
  <si>
    <t>Franca</t>
  </si>
  <si>
    <t>Guarujá</t>
  </si>
  <si>
    <t>Guarulhos</t>
  </si>
  <si>
    <t>Itapecerica da Serra</t>
  </si>
  <si>
    <t>Itapetininga</t>
  </si>
  <si>
    <t>Itapeva</t>
  </si>
  <si>
    <t>Itapira</t>
  </si>
  <si>
    <t>Jacareí</t>
  </si>
  <si>
    <t>Jandira</t>
  </si>
  <si>
    <t>Jundiaí</t>
  </si>
  <si>
    <t>Leme</t>
  </si>
  <si>
    <t>Lins</t>
  </si>
  <si>
    <t>Matão</t>
  </si>
  <si>
    <t>Mauá</t>
  </si>
  <si>
    <t>Mogi Mirim</t>
  </si>
  <si>
    <t>Ourinhos</t>
  </si>
  <si>
    <t>Penápolis</t>
  </si>
  <si>
    <t>Pindamonhangaba</t>
  </si>
  <si>
    <t>Piracicaba</t>
  </si>
  <si>
    <t>Presidente Prudente</t>
  </si>
  <si>
    <t>Ribeirão Pires</t>
  </si>
  <si>
    <t>Ribeirão Preto</t>
  </si>
  <si>
    <t>Rio Claro</t>
  </si>
  <si>
    <t>Santa Bárbara d'Oeste</t>
  </si>
  <si>
    <t>Santos</t>
  </si>
  <si>
    <t>São Caetano do Sul</t>
  </si>
  <si>
    <t>São Carlos</t>
  </si>
  <si>
    <t>São José do Rio Preto</t>
  </si>
  <si>
    <t>São José dos Campos</t>
  </si>
  <si>
    <t>São Paulo</t>
  </si>
  <si>
    <t>São Sebastião</t>
  </si>
  <si>
    <t>São Vicente</t>
  </si>
  <si>
    <t>Sertãozinho</t>
  </si>
  <si>
    <t>Sumaré</t>
  </si>
  <si>
    <t>Taboão da Serra</t>
  </si>
  <si>
    <t>Várzea Paulista</t>
  </si>
  <si>
    <t>Vinhedo</t>
  </si>
  <si>
    <t>Ubá</t>
  </si>
  <si>
    <t>MT</t>
  </si>
  <si>
    <t>Guarabira</t>
  </si>
  <si>
    <t>Castro</t>
  </si>
  <si>
    <t>Toledo</t>
  </si>
  <si>
    <t>Alegrete</t>
  </si>
  <si>
    <t>Farroupilha</t>
  </si>
  <si>
    <t>Rio Grande</t>
  </si>
  <si>
    <t>Santana do Livramento</t>
  </si>
  <si>
    <t>Tubarão</t>
  </si>
  <si>
    <t>Limeira</t>
  </si>
  <si>
    <t>Além Paraíba</t>
  </si>
  <si>
    <t>Ouro Branco</t>
  </si>
  <si>
    <t>Lavras</t>
  </si>
  <si>
    <t>Santa Luzia</t>
  </si>
  <si>
    <t>Santana do Paraíso</t>
  </si>
  <si>
    <t>Caldas Novas</t>
  </si>
  <si>
    <t>Rio Verde</t>
  </si>
  <si>
    <t>Cidade Ocidental</t>
  </si>
  <si>
    <t>Itumbiara</t>
  </si>
  <si>
    <t>Corumbá</t>
  </si>
  <si>
    <t>Armação dos Búzios</t>
  </si>
  <si>
    <t>São Gonçalo</t>
  </si>
  <si>
    <t>Cabo Frio</t>
  </si>
  <si>
    <t>Rio das Ostras</t>
  </si>
  <si>
    <t>Barueri</t>
  </si>
  <si>
    <t>Brodowski</t>
  </si>
  <si>
    <t>Itatiba</t>
  </si>
  <si>
    <t>São José do Rio Pardo</t>
  </si>
  <si>
    <t>Dracena</t>
  </si>
  <si>
    <t>Bragança Paulista</t>
  </si>
  <si>
    <t>Mongaguá</t>
  </si>
  <si>
    <t>Sorocaba</t>
  </si>
  <si>
    <t>Canela</t>
  </si>
  <si>
    <t>Guaporé</t>
  </si>
  <si>
    <t>Charqueadas</t>
  </si>
  <si>
    <t>Marau</t>
  </si>
  <si>
    <t>Santa Cruz do Sul</t>
  </si>
  <si>
    <t>Luís Eduardo Magalhães</t>
  </si>
  <si>
    <t>Cruz das Almas</t>
  </si>
  <si>
    <t>Conceição do Coité</t>
  </si>
  <si>
    <t>Capanema</t>
  </si>
  <si>
    <t>Paiçandu</t>
  </si>
  <si>
    <t>Içara</t>
  </si>
  <si>
    <t>Imbituba</t>
  </si>
  <si>
    <t>São Francisco do Sul</t>
  </si>
  <si>
    <t>Brumado</t>
  </si>
  <si>
    <t>Nossa Senhora da Glória</t>
  </si>
  <si>
    <t>Soledade</t>
  </si>
  <si>
    <t>Torres</t>
  </si>
  <si>
    <t>Aquiraz</t>
  </si>
  <si>
    <t>Afogados da Ingazeira</t>
  </si>
  <si>
    <t>Surubim</t>
  </si>
  <si>
    <t>Valparaíso de Goiás</t>
  </si>
  <si>
    <t>CGT</t>
  </si>
  <si>
    <t>Caxias</t>
  </si>
  <si>
    <t>1200401</t>
  </si>
  <si>
    <t>2700300</t>
  </si>
  <si>
    <t>2704302</t>
  </si>
  <si>
    <t>1302603</t>
  </si>
  <si>
    <t>1600303</t>
  </si>
  <si>
    <t>2900702</t>
  </si>
  <si>
    <t>2904605</t>
  </si>
  <si>
    <t>2905701</t>
  </si>
  <si>
    <t>2908408</t>
  </si>
  <si>
    <t>2909802</t>
  </si>
  <si>
    <t>2910727</t>
  </si>
  <si>
    <t>2913606</t>
  </si>
  <si>
    <t>2914604</t>
  </si>
  <si>
    <t>2914802</t>
  </si>
  <si>
    <t>2918407</t>
  </si>
  <si>
    <t>2919207</t>
  </si>
  <si>
    <t>2919553</t>
  </si>
  <si>
    <t>2924009</t>
  </si>
  <si>
    <t>2925303</t>
  </si>
  <si>
    <t>2927408</t>
  </si>
  <si>
    <t>2930105</t>
  </si>
  <si>
    <t>2930709</t>
  </si>
  <si>
    <t>2931350</t>
  </si>
  <si>
    <t>2933307</t>
  </si>
  <si>
    <t>2301000</t>
  </si>
  <si>
    <t>2303709</t>
  </si>
  <si>
    <t>2304202</t>
  </si>
  <si>
    <t>2304400</t>
  </si>
  <si>
    <t>2305506</t>
  </si>
  <si>
    <t>2307304</t>
  </si>
  <si>
    <t>2307650</t>
  </si>
  <si>
    <t>2312908</t>
  </si>
  <si>
    <t>5300108</t>
  </si>
  <si>
    <t>3200607</t>
  </si>
  <si>
    <t>3201209</t>
  </si>
  <si>
    <t>3201308</t>
  </si>
  <si>
    <t>3201506</t>
  </si>
  <si>
    <t>3202405</t>
  </si>
  <si>
    <t>3203205</t>
  </si>
  <si>
    <t>3204906</t>
  </si>
  <si>
    <t>3205002</t>
  </si>
  <si>
    <t>3205101</t>
  </si>
  <si>
    <t>3205200</t>
  </si>
  <si>
    <t>3205309</t>
  </si>
  <si>
    <t>5200258</t>
  </si>
  <si>
    <t>5201108</t>
  </si>
  <si>
    <t>5204508</t>
  </si>
  <si>
    <t>5205497</t>
  </si>
  <si>
    <t>5208608</t>
  </si>
  <si>
    <t>5208707</t>
  </si>
  <si>
    <t>5211503</t>
  </si>
  <si>
    <t>5218805</t>
  </si>
  <si>
    <t>5221858</t>
  </si>
  <si>
    <t>2103000</t>
  </si>
  <si>
    <t>2103307</t>
  </si>
  <si>
    <t>2105302</t>
  </si>
  <si>
    <t>2107506</t>
  </si>
  <si>
    <t>2111300</t>
  </si>
  <si>
    <t>2112209</t>
  </si>
  <si>
    <t>3101508</t>
  </si>
  <si>
    <t>3101607</t>
  </si>
  <si>
    <t>3104007</t>
  </si>
  <si>
    <t>3105608</t>
  </si>
  <si>
    <t>3106705</t>
  </si>
  <si>
    <t>3109006</t>
  </si>
  <si>
    <t>3113404</t>
  </si>
  <si>
    <t>3118304</t>
  </si>
  <si>
    <t>3118601</t>
  </si>
  <si>
    <t>3119401</t>
  </si>
  <si>
    <t>3122306</t>
  </si>
  <si>
    <t>3124104</t>
  </si>
  <si>
    <t>3126109</t>
  </si>
  <si>
    <t>3127701</t>
  </si>
  <si>
    <t>3128709</t>
  </si>
  <si>
    <t>3131703</t>
  </si>
  <si>
    <t>3132404</t>
  </si>
  <si>
    <t>3133808</t>
  </si>
  <si>
    <t>3136207</t>
  </si>
  <si>
    <t>3136702</t>
  </si>
  <si>
    <t>3138203</t>
  </si>
  <si>
    <t>3139409</t>
  </si>
  <si>
    <t>3143302</t>
  </si>
  <si>
    <t>3144805</t>
  </si>
  <si>
    <t>3145901</t>
  </si>
  <si>
    <t>3146107</t>
  </si>
  <si>
    <t>3147006</t>
  </si>
  <si>
    <t>3148004</t>
  </si>
  <si>
    <t>3148103</t>
  </si>
  <si>
    <t>3151800</t>
  </si>
  <si>
    <t>3152501</t>
  </si>
  <si>
    <t>3154606</t>
  </si>
  <si>
    <t>3157807</t>
  </si>
  <si>
    <t>3158953</t>
  </si>
  <si>
    <t>3168606</t>
  </si>
  <si>
    <t>3168705</t>
  </si>
  <si>
    <t>3169901</t>
  </si>
  <si>
    <t>3170206</t>
  </si>
  <si>
    <t>3170701</t>
  </si>
  <si>
    <t>3171303</t>
  </si>
  <si>
    <t>5002704</t>
  </si>
  <si>
    <t>5003207</t>
  </si>
  <si>
    <t>5003702</t>
  </si>
  <si>
    <t>5102504</t>
  </si>
  <si>
    <t>5103403</t>
  </si>
  <si>
    <t>5108402</t>
  </si>
  <si>
    <t>1500800</t>
  </si>
  <si>
    <t>1501402</t>
  </si>
  <si>
    <t>1502202</t>
  </si>
  <si>
    <t>1503606</t>
  </si>
  <si>
    <t>1506807</t>
  </si>
  <si>
    <t>2504009</t>
  </si>
  <si>
    <t>2506301</t>
  </si>
  <si>
    <t>2507507</t>
  </si>
  <si>
    <t>2510808</t>
  </si>
  <si>
    <t>2600104</t>
  </si>
  <si>
    <t>2603454</t>
  </si>
  <si>
    <t>2604106</t>
  </si>
  <si>
    <t>2606002</t>
  </si>
  <si>
    <t>2607901</t>
  </si>
  <si>
    <t>2609600</t>
  </si>
  <si>
    <t>2610707</t>
  </si>
  <si>
    <t>2611606</t>
  </si>
  <si>
    <t>2612208</t>
  </si>
  <si>
    <t>2614501</t>
  </si>
  <si>
    <t>2202208</t>
  </si>
  <si>
    <t>2207702</t>
  </si>
  <si>
    <t>2208403</t>
  </si>
  <si>
    <t>2211001</t>
  </si>
  <si>
    <t>4101408</t>
  </si>
  <si>
    <t>4104303</t>
  </si>
  <si>
    <t>4104808</t>
  </si>
  <si>
    <t>4104907</t>
  </si>
  <si>
    <t>4106902</t>
  </si>
  <si>
    <t>4108304</t>
  </si>
  <si>
    <t>4108403</t>
  </si>
  <si>
    <t>4113700</t>
  </si>
  <si>
    <t>4115200</t>
  </si>
  <si>
    <t>4117503</t>
  </si>
  <si>
    <t>4118402</t>
  </si>
  <si>
    <t>4119152</t>
  </si>
  <si>
    <t>4119905</t>
  </si>
  <si>
    <t>4125506</t>
  </si>
  <si>
    <t>4127700</t>
  </si>
  <si>
    <t>4128104</t>
  </si>
  <si>
    <t>4128203</t>
  </si>
  <si>
    <t>3300100</t>
  </si>
  <si>
    <t>3300233</t>
  </si>
  <si>
    <t>3300308</t>
  </si>
  <si>
    <t>3300407</t>
  </si>
  <si>
    <t>3300704</t>
  </si>
  <si>
    <t>3301009</t>
  </si>
  <si>
    <t>3301702</t>
  </si>
  <si>
    <t>3301900</t>
  </si>
  <si>
    <t>3302403</t>
  </si>
  <si>
    <t>3303203</t>
  </si>
  <si>
    <t>3303302</t>
  </si>
  <si>
    <t>3303906</t>
  </si>
  <si>
    <t>3304201</t>
  </si>
  <si>
    <t>3304524</t>
  </si>
  <si>
    <t>3304557</t>
  </si>
  <si>
    <t>3304904</t>
  </si>
  <si>
    <t>3305109</t>
  </si>
  <si>
    <t>3305802</t>
  </si>
  <si>
    <t>3306305</t>
  </si>
  <si>
    <t>2408102</t>
  </si>
  <si>
    <t>1100049</t>
  </si>
  <si>
    <t>1100122</t>
  </si>
  <si>
    <t>1100205</t>
  </si>
  <si>
    <t>1400100</t>
  </si>
  <si>
    <t>4300406</t>
  </si>
  <si>
    <t>4300604</t>
  </si>
  <si>
    <t>4301602</t>
  </si>
  <si>
    <t>4302105</t>
  </si>
  <si>
    <t>4303103</t>
  </si>
  <si>
    <t>4304408</t>
  </si>
  <si>
    <t>4304606</t>
  </si>
  <si>
    <t>4305108</t>
  </si>
  <si>
    <t>4305355</t>
  </si>
  <si>
    <t>4306106</t>
  </si>
  <si>
    <t>4307005</t>
  </si>
  <si>
    <t>4307708</t>
  </si>
  <si>
    <t>4307906</t>
  </si>
  <si>
    <t>4309209</t>
  </si>
  <si>
    <t>4309407</t>
  </si>
  <si>
    <t>4310207</t>
  </si>
  <si>
    <t>4311809</t>
  </si>
  <si>
    <t>4313409</t>
  </si>
  <si>
    <t>4314100</t>
  </si>
  <si>
    <t>4314407</t>
  </si>
  <si>
    <t>4314902</t>
  </si>
  <si>
    <t>4315602</t>
  </si>
  <si>
    <t>4316808</t>
  </si>
  <si>
    <t>4316907</t>
  </si>
  <si>
    <t>4317202</t>
  </si>
  <si>
    <t>4317103</t>
  </si>
  <si>
    <t>4318309</t>
  </si>
  <si>
    <t>4318705</t>
  </si>
  <si>
    <t>4319901</t>
  </si>
  <si>
    <t>4320008</t>
  </si>
  <si>
    <t>4320800</t>
  </si>
  <si>
    <t>4321501</t>
  </si>
  <si>
    <t>4322509</t>
  </si>
  <si>
    <t>4322608</t>
  </si>
  <si>
    <t>4323002</t>
  </si>
  <si>
    <t>4202305</t>
  </si>
  <si>
    <t>4202404</t>
  </si>
  <si>
    <t>4202909</t>
  </si>
  <si>
    <t>4204202</t>
  </si>
  <si>
    <t>4204301</t>
  </si>
  <si>
    <t>4204608</t>
  </si>
  <si>
    <t>4205407</t>
  </si>
  <si>
    <t>4205902</t>
  </si>
  <si>
    <t>4207007</t>
  </si>
  <si>
    <t>4207304</t>
  </si>
  <si>
    <t>4208203</t>
  </si>
  <si>
    <t>4209102</t>
  </si>
  <si>
    <t>4209300</t>
  </si>
  <si>
    <t>4209409</t>
  </si>
  <si>
    <t>4214805</t>
  </si>
  <si>
    <t>4216206</t>
  </si>
  <si>
    <t>4216602</t>
  </si>
  <si>
    <t>4218707</t>
  </si>
  <si>
    <t>2800308</t>
  </si>
  <si>
    <t>2804508</t>
  </si>
  <si>
    <t>2806701</t>
  </si>
  <si>
    <t>3501608</t>
  </si>
  <si>
    <t>3501905</t>
  </si>
  <si>
    <t>3502101</t>
  </si>
  <si>
    <t>3502804</t>
  </si>
  <si>
    <t>3503208</t>
  </si>
  <si>
    <t>3503307</t>
  </si>
  <si>
    <t>3504107</t>
  </si>
  <si>
    <t>3504503</t>
  </si>
  <si>
    <t>3505708</t>
  </si>
  <si>
    <t>3506003</t>
  </si>
  <si>
    <t>3506102</t>
  </si>
  <si>
    <t>3507506</t>
  </si>
  <si>
    <t>3507605</t>
  </si>
  <si>
    <t>3507803</t>
  </si>
  <si>
    <t>3508504</t>
  </si>
  <si>
    <t>3509007</t>
  </si>
  <si>
    <t>3509502</t>
  </si>
  <si>
    <t>3509601</t>
  </si>
  <si>
    <t>3510500</t>
  </si>
  <si>
    <t>3510609</t>
  </si>
  <si>
    <t>3511102</t>
  </si>
  <si>
    <t>3513504</t>
  </si>
  <si>
    <t>3513801</t>
  </si>
  <si>
    <t>3514403</t>
  </si>
  <si>
    <t>3515004</t>
  </si>
  <si>
    <t>3515103</t>
  </si>
  <si>
    <t>3515707</t>
  </si>
  <si>
    <t>3516200</t>
  </si>
  <si>
    <t>3518701</t>
  </si>
  <si>
    <t>3518800</t>
  </si>
  <si>
    <t>3519071</t>
  </si>
  <si>
    <t>3522208</t>
  </si>
  <si>
    <t>3522307</t>
  </si>
  <si>
    <t>3522406</t>
  </si>
  <si>
    <t>3522604</t>
  </si>
  <si>
    <t>3523404</t>
  </si>
  <si>
    <t>3524303</t>
  </si>
  <si>
    <t>3524402</t>
  </si>
  <si>
    <t>3525003</t>
  </si>
  <si>
    <t>3525904</t>
  </si>
  <si>
    <t>3526704</t>
  </si>
  <si>
    <t>3526902</t>
  </si>
  <si>
    <t>3527108</t>
  </si>
  <si>
    <t>3529302</t>
  </si>
  <si>
    <t>3529401</t>
  </si>
  <si>
    <t>3530805</t>
  </si>
  <si>
    <t>3531100</t>
  </si>
  <si>
    <t>3534401</t>
  </si>
  <si>
    <t>3534708</t>
  </si>
  <si>
    <t>3537305</t>
  </si>
  <si>
    <t>3538006</t>
  </si>
  <si>
    <t>3538709</t>
  </si>
  <si>
    <t>3541406</t>
  </si>
  <si>
    <t>3543303</t>
  </si>
  <si>
    <t>3543402</t>
  </si>
  <si>
    <t>3543907</t>
  </si>
  <si>
    <t>3545803</t>
  </si>
  <si>
    <t>3547809</t>
  </si>
  <si>
    <t>3548500</t>
  </si>
  <si>
    <t>3548708</t>
  </si>
  <si>
    <t>3548807</t>
  </si>
  <si>
    <t>3548906</t>
  </si>
  <si>
    <t>3549706</t>
  </si>
  <si>
    <t>3549805</t>
  </si>
  <si>
    <t>3549904</t>
  </si>
  <si>
    <t>3550308</t>
  </si>
  <si>
    <t>3550704</t>
  </si>
  <si>
    <t>3551009</t>
  </si>
  <si>
    <t>3551702</t>
  </si>
  <si>
    <t>3552205</t>
  </si>
  <si>
    <t>3552403</t>
  </si>
  <si>
    <t>3552502</t>
  </si>
  <si>
    <t>3552809</t>
  </si>
  <si>
    <t>3555406</t>
  </si>
  <si>
    <t>3556503</t>
  </si>
  <si>
    <t>3556701</t>
  </si>
  <si>
    <t>3557006</t>
  </si>
  <si>
    <t>Castanhal</t>
  </si>
  <si>
    <t>Serra Talhada</t>
  </si>
  <si>
    <t>Petrolina</t>
  </si>
  <si>
    <t>Itabaiana</t>
  </si>
  <si>
    <t>Feira de Santana</t>
  </si>
  <si>
    <t>Ilhéus - Itabuna</t>
  </si>
  <si>
    <t>Barreiras</t>
  </si>
  <si>
    <t>Santo Antônio de Jesus</t>
  </si>
  <si>
    <t>Eunápolis - Porto Seguro</t>
  </si>
  <si>
    <t>Uberaba</t>
  </si>
  <si>
    <t>Santa Bárbara - Ouro Preto</t>
  </si>
  <si>
    <t>Cachoeiro do Itapemirim</t>
  </si>
  <si>
    <t>Macaé - Rio das Ostras - Cabo Frio</t>
  </si>
  <si>
    <t>Volta Redonda - Barra Mansa</t>
  </si>
  <si>
    <t>Macaé - Rio das Ostras</t>
  </si>
  <si>
    <t>Barretos</t>
  </si>
  <si>
    <t>Birigui - Penápolis</t>
  </si>
  <si>
    <t>Caraguatatuba - Ubatuba - São Sebastião</t>
  </si>
  <si>
    <t>Mogi Guaçu</t>
  </si>
  <si>
    <t>Marília</t>
  </si>
  <si>
    <t>Taubaté - Pindamonhangaba</t>
  </si>
  <si>
    <t>São José do Rio Pardo - Mococa</t>
  </si>
  <si>
    <t>Uruguaiana</t>
  </si>
  <si>
    <t>Charqueadas - Triunfo - São Jerônimo</t>
  </si>
  <si>
    <t>Santa Cruz do Sul - Lajeado</t>
  </si>
  <si>
    <t>Lajeado</t>
  </si>
  <si>
    <t>Nova Prata - Guaporé</t>
  </si>
  <si>
    <t>São Gabriel - Caçapava do Sul</t>
  </si>
  <si>
    <t>Novo Hamburgo - São Leopoldo</t>
  </si>
  <si>
    <t>Cáceres</t>
  </si>
  <si>
    <t>Luziânia - Águas Lindas de Goiás</t>
  </si>
  <si>
    <t>Porangatu - Uruaçu</t>
  </si>
  <si>
    <t>Caldas Novas - Morrinhos</t>
  </si>
  <si>
    <t>Ceres - Rialma - Goianésia</t>
  </si>
  <si>
    <t>Luziânia</t>
  </si>
  <si>
    <t>Distrito Federal</t>
  </si>
  <si>
    <t>2C</t>
  </si>
  <si>
    <t>2A</t>
  </si>
  <si>
    <t>1C</t>
  </si>
  <si>
    <t>3A</t>
  </si>
  <si>
    <t>3B</t>
  </si>
  <si>
    <t>2B</t>
  </si>
  <si>
    <t>1A</t>
  </si>
  <si>
    <t>1B</t>
  </si>
  <si>
    <t>Arranjo_Pop</t>
  </si>
  <si>
    <t>Além Paraíba - Sapucaia</t>
  </si>
  <si>
    <t>Americana - Santa Bárbara d'Oeste</t>
  </si>
  <si>
    <t>n/a</t>
  </si>
  <si>
    <t>Canela - Gramado</t>
  </si>
  <si>
    <t>Baixada Santista</t>
  </si>
  <si>
    <t>Sâo Paulo</t>
  </si>
  <si>
    <t>Foz do Iguaçu - Ciudad del Este/Paraguai</t>
  </si>
  <si>
    <t>Itajaí - Balneário Camboriú</t>
  </si>
  <si>
    <t>Petrolina - Juazeiro</t>
  </si>
  <si>
    <t>Tubarão - Laguna</t>
  </si>
  <si>
    <t>Mogi Guaçu - Mogi Mirim</t>
  </si>
  <si>
    <t>Sâo Luís</t>
  </si>
  <si>
    <t>União da Vitória - Porto União</t>
  </si>
  <si>
    <t>Auton_financ</t>
  </si>
  <si>
    <t>Ind_Invest</t>
  </si>
  <si>
    <t>Saud_financ</t>
  </si>
  <si>
    <t>Reg_Influencia_2018</t>
  </si>
  <si>
    <t>2004, 2008, 2012</t>
  </si>
  <si>
    <t>2000, 2004</t>
  </si>
  <si>
    <t>2004, 2008</t>
  </si>
  <si>
    <t>1992, 1996, 2000</t>
  </si>
  <si>
    <t>2004, 2012</t>
  </si>
  <si>
    <t>2008, 2012</t>
  </si>
  <si>
    <t>1996, 2000, 2004, 2008, 2012</t>
  </si>
  <si>
    <t>2000, 2004, 2008, 2012</t>
  </si>
  <si>
    <t>1996, 2008</t>
  </si>
  <si>
    <t>2000, 2004, 2008</t>
  </si>
  <si>
    <t>2000, 2008</t>
  </si>
  <si>
    <t>2000, 2012</t>
  </si>
  <si>
    <t>1996, 2000, 2004</t>
  </si>
  <si>
    <t>1996, 2000, 2004, 2008</t>
  </si>
  <si>
    <t>2000, 2008, 2012</t>
  </si>
  <si>
    <t>2004, 2008, 2012, 2016</t>
  </si>
  <si>
    <t>2012, 2016</t>
  </si>
  <si>
    <t>2012, 2016, 2020</t>
  </si>
  <si>
    <t>2008, 2012, 2016, 2020</t>
  </si>
  <si>
    <t>1996, 2000, 2004, 2008, 2012, 2016, 2020</t>
  </si>
  <si>
    <t>2000, 2004, 2012, 2016</t>
  </si>
  <si>
    <t>2004, 2008, 2012, 2016, 2020</t>
  </si>
  <si>
    <t>2004, 2016</t>
  </si>
  <si>
    <t>2000, 2004, 2008, 2016</t>
  </si>
  <si>
    <t>2004, 2008, 2016</t>
  </si>
  <si>
    <t>2004, 2012, 2016</t>
  </si>
  <si>
    <t>2000, 2012, 2016</t>
  </si>
  <si>
    <t>2004, 2016, 2020</t>
  </si>
  <si>
    <t>2008, 2012, 2016</t>
  </si>
  <si>
    <t>2008, 2016</t>
  </si>
  <si>
    <t>1996, 2004, 2016, 2020</t>
  </si>
  <si>
    <t>1996, 2008, 2016</t>
  </si>
  <si>
    <t>1996, 2000, 2004, 2008, 2012, 2016</t>
  </si>
  <si>
    <t>2004, 2008, 2020</t>
  </si>
  <si>
    <t>2000, 2004, 2020</t>
  </si>
  <si>
    <t>2000, 2004, 2008, 2012, 2020</t>
  </si>
  <si>
    <t>2012, 2020</t>
  </si>
  <si>
    <t>2008, 2012, 2020</t>
  </si>
  <si>
    <t>2000, 2020</t>
  </si>
  <si>
    <t>Guaratinguetá</t>
  </si>
  <si>
    <t>Itaguaí</t>
  </si>
  <si>
    <t>Palmeira dos Índios</t>
  </si>
  <si>
    <t>Pirassununga</t>
  </si>
  <si>
    <t>Senador Canedo</t>
  </si>
  <si>
    <t>Híbrido</t>
  </si>
  <si>
    <t>Ativo</t>
  </si>
  <si>
    <t>Consultivo</t>
  </si>
  <si>
    <t>Decisório</t>
  </si>
  <si>
    <t>Inativo</t>
  </si>
  <si>
    <t>2010, 2011</t>
  </si>
  <si>
    <t>1997, 1998, 1999, 2016</t>
  </si>
  <si>
    <t>Belo Horizonte &amp; São Paulo</t>
  </si>
  <si>
    <t>Juazeiro do Norte &amp; Recife</t>
  </si>
  <si>
    <t>Foz do Iguaçu - Ciudad del Este</t>
  </si>
  <si>
    <t>Campinas &amp; São Paulo</t>
  </si>
  <si>
    <t>2015, 2016</t>
  </si>
  <si>
    <t>2004, 2008, 2016, 2022</t>
  </si>
  <si>
    <r>
      <t xml:space="preserve">1996, </t>
    </r>
    <r>
      <rPr>
        <b/>
        <sz val="11"/>
        <color theme="1"/>
        <rFont val="Calibri"/>
        <family val="2"/>
        <scheme val="minor"/>
      </rPr>
      <t>2004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2020</t>
    </r>
  </si>
  <si>
    <r>
      <rPr>
        <b/>
        <sz val="11"/>
        <color theme="1"/>
        <rFont val="Calibri"/>
        <family val="2"/>
        <scheme val="minor"/>
      </rPr>
      <t>1997, 1998</t>
    </r>
    <r>
      <rPr>
        <sz val="11"/>
        <color theme="1"/>
        <rFont val="Calibri"/>
        <family val="2"/>
        <scheme val="minor"/>
      </rPr>
      <t>, 2004</t>
    </r>
  </si>
  <si>
    <r>
      <t xml:space="preserve">2004, </t>
    </r>
    <r>
      <rPr>
        <b/>
        <sz val="11"/>
        <color theme="1"/>
        <rFont val="Calibri"/>
        <family val="2"/>
        <scheme val="minor"/>
      </rPr>
      <t>2011, 2012</t>
    </r>
  </si>
  <si>
    <r>
      <t xml:space="preserve">2004, 2008, 2012, 2016, </t>
    </r>
    <r>
      <rPr>
        <b/>
        <sz val="11"/>
        <color theme="1"/>
        <rFont val="Calibri"/>
        <family val="2"/>
        <scheme val="minor"/>
      </rPr>
      <t>2023</t>
    </r>
  </si>
  <si>
    <r>
      <t>2004,</t>
    </r>
    <r>
      <rPr>
        <b/>
        <sz val="11"/>
        <color theme="1"/>
        <rFont val="Calibri"/>
        <family val="2"/>
        <scheme val="minor"/>
      </rPr>
      <t xml:space="preserve"> 2021, 2022, 2023</t>
    </r>
  </si>
  <si>
    <r>
      <t>1992, 1996, 2000, 2004, 2008, 2012, 2016,</t>
    </r>
    <r>
      <rPr>
        <b/>
        <sz val="11"/>
        <color theme="1"/>
        <rFont val="Calibri"/>
        <family val="2"/>
        <scheme val="minor"/>
      </rPr>
      <t xml:space="preserve"> 2018, 2019, 2022, 2023</t>
    </r>
  </si>
  <si>
    <r>
      <t xml:space="preserve">2008, 2012, 2016, 2020, </t>
    </r>
    <r>
      <rPr>
        <b/>
        <sz val="11"/>
        <color theme="1"/>
        <rFont val="Calibri"/>
        <family val="2"/>
        <scheme val="minor"/>
      </rPr>
      <t>2021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2023</t>
    </r>
  </si>
  <si>
    <r>
      <t xml:space="preserve">2004, 2008, </t>
    </r>
    <r>
      <rPr>
        <b/>
        <sz val="11"/>
        <color theme="1"/>
        <rFont val="Calibri"/>
        <family val="2"/>
        <scheme val="minor"/>
      </rPr>
      <t>2018, 2019, 2020, 2021, 2022, 2023</t>
    </r>
  </si>
  <si>
    <t>1995, 1996, 1997, 1998, 2011/12, 2012/13, 2013/14</t>
  </si>
  <si>
    <t>2012, 2016, 2020, 2024</t>
  </si>
  <si>
    <r>
      <t xml:space="preserve">1996, 2000, 2008, </t>
    </r>
    <r>
      <rPr>
        <b/>
        <sz val="11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2017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2021</t>
    </r>
  </si>
  <si>
    <t>2008, 2012, 2016, 2020, 2024</t>
  </si>
  <si>
    <r>
      <t xml:space="preserve">2000, </t>
    </r>
    <r>
      <rPr>
        <b/>
        <sz val="11"/>
        <color theme="1"/>
        <rFont val="Calibri"/>
        <family val="2"/>
        <scheme val="minor"/>
      </rPr>
      <t>2023</t>
    </r>
  </si>
  <si>
    <r>
      <t xml:space="preserve">2004, 2016, </t>
    </r>
    <r>
      <rPr>
        <b/>
        <sz val="11"/>
        <color theme="1"/>
        <rFont val="Calibri"/>
        <family val="2"/>
        <scheme val="minor"/>
      </rPr>
      <t>2019</t>
    </r>
    <r>
      <rPr>
        <sz val="11"/>
        <color theme="1"/>
        <rFont val="Calibri"/>
        <family val="2"/>
        <scheme val="minor"/>
      </rPr>
      <t>, 2024</t>
    </r>
  </si>
  <si>
    <t>1996, 2004, 2008, 2012</t>
  </si>
  <si>
    <t>2005, 2007, 2009, 2011</t>
  </si>
  <si>
    <r>
      <rPr>
        <b/>
        <sz val="11"/>
        <color theme="1"/>
        <rFont val="Calibri"/>
        <family val="2"/>
        <scheme val="minor"/>
      </rPr>
      <t>1990, 1991, 1992</t>
    </r>
    <r>
      <rPr>
        <sz val="11"/>
        <color theme="1"/>
        <rFont val="Calibri"/>
        <family val="2"/>
        <scheme val="minor"/>
      </rPr>
      <t xml:space="preserve">, 1996, 2000, 2004, 2008, </t>
    </r>
    <r>
      <rPr>
        <b/>
        <sz val="11"/>
        <color theme="1"/>
        <rFont val="Calibri"/>
        <family val="2"/>
        <scheme val="minor"/>
      </rPr>
      <t>2010, 2013</t>
    </r>
  </si>
  <si>
    <r>
      <rPr>
        <b/>
        <sz val="11"/>
        <color theme="1"/>
        <rFont val="Calibri"/>
        <family val="2"/>
        <scheme val="minor"/>
      </rPr>
      <t>2010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2011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>, 2016</t>
    </r>
  </si>
  <si>
    <r>
      <t xml:space="preserve">2008,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>, 2020, 2024</t>
    </r>
  </si>
  <si>
    <t>2004, 2008, 2020, 2024</t>
  </si>
  <si>
    <r>
      <t xml:space="preserve">2004, </t>
    </r>
    <r>
      <rPr>
        <b/>
        <sz val="11"/>
        <color theme="1"/>
        <rFont val="Calibri"/>
        <family val="2"/>
        <scheme val="minor"/>
      </rPr>
      <t>2009</t>
    </r>
  </si>
  <si>
    <t>2020, 2024</t>
  </si>
  <si>
    <r>
      <t xml:space="preserve">2000, </t>
    </r>
    <r>
      <rPr>
        <b/>
        <sz val="11"/>
        <color theme="1"/>
        <rFont val="Calibri"/>
        <family val="2"/>
        <scheme val="minor"/>
      </rPr>
      <t>2024</t>
    </r>
  </si>
  <si>
    <r>
      <t xml:space="preserve">2000, </t>
    </r>
    <r>
      <rPr>
        <b/>
        <sz val="11"/>
        <color theme="1"/>
        <rFont val="Calibri"/>
        <family val="2"/>
        <scheme val="minor"/>
      </rPr>
      <t>2001, 2002, 2022, 2023</t>
    </r>
  </si>
  <si>
    <r>
      <t xml:space="preserve">1996, </t>
    </r>
    <r>
      <rPr>
        <b/>
        <sz val="11"/>
        <color theme="1"/>
        <rFont val="Calibri"/>
        <family val="2"/>
        <scheme val="minor"/>
      </rPr>
      <t>2011</t>
    </r>
    <r>
      <rPr>
        <sz val="11"/>
        <color theme="1"/>
        <rFont val="Calibri"/>
        <family val="2"/>
        <scheme val="minor"/>
      </rPr>
      <t>, 2016</t>
    </r>
  </si>
  <si>
    <r>
      <t xml:space="preserve">2000, 2004, 2008, </t>
    </r>
    <r>
      <rPr>
        <b/>
        <sz val="11"/>
        <color theme="1"/>
        <rFont val="Calibri"/>
        <family val="2"/>
        <scheme val="minor"/>
      </rPr>
      <t>2009, 2010, 2011</t>
    </r>
  </si>
  <si>
    <t>1996, 2004</t>
  </si>
  <si>
    <t>2004, 2012, 2020, 2024</t>
  </si>
  <si>
    <r>
      <t xml:space="preserve">2004, </t>
    </r>
    <r>
      <rPr>
        <b/>
        <sz val="11"/>
        <color theme="1"/>
        <rFont val="Calibri"/>
        <family val="2"/>
        <scheme val="minor"/>
      </rPr>
      <t>2014</t>
    </r>
    <r>
      <rPr>
        <sz val="11"/>
        <color theme="1"/>
        <rFont val="Calibri"/>
        <family val="2"/>
        <scheme val="minor"/>
      </rPr>
      <t>, 2020, 2024</t>
    </r>
  </si>
  <si>
    <r>
      <t>2004,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2008</t>
    </r>
    <r>
      <rPr>
        <b/>
        <sz val="11"/>
        <color theme="1"/>
        <rFont val="Calibri"/>
        <family val="2"/>
        <scheme val="minor"/>
      </rPr>
      <t>, 2017, 2018, 2019, 2022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2023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2024</t>
    </r>
  </si>
  <si>
    <r>
      <rPr>
        <b/>
        <sz val="11"/>
        <color theme="1"/>
        <rFont val="Calibri"/>
        <family val="2"/>
        <scheme val="minor"/>
      </rPr>
      <t xml:space="preserve">2011, 2012, </t>
    </r>
    <r>
      <rPr>
        <sz val="11"/>
        <color theme="1"/>
        <rFont val="Calibri"/>
        <family val="2"/>
        <scheme val="minor"/>
      </rPr>
      <t>2016</t>
    </r>
  </si>
  <si>
    <r>
      <t xml:space="preserve">1996, 2000, 2004, 2008, 2012, 2016, </t>
    </r>
    <r>
      <rPr>
        <b/>
        <sz val="11"/>
        <color theme="1"/>
        <rFont val="Calibri"/>
        <family val="2"/>
        <scheme val="minor"/>
      </rPr>
      <t>2017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2024</t>
    </r>
  </si>
  <si>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2021</t>
    </r>
  </si>
  <si>
    <r>
      <rPr>
        <b/>
        <sz val="11"/>
        <color theme="1"/>
        <rFont val="Calibri"/>
        <family val="2"/>
        <scheme val="minor"/>
      </rPr>
      <t>2010, 2011, 2012</t>
    </r>
    <r>
      <rPr>
        <sz val="11"/>
        <color theme="1"/>
        <rFont val="Calibri"/>
        <family val="2"/>
        <scheme val="minor"/>
      </rPr>
      <t xml:space="preserve">, 2016, </t>
    </r>
    <r>
      <rPr>
        <b/>
        <sz val="11"/>
        <color theme="1"/>
        <rFont val="Calibri"/>
        <family val="2"/>
        <scheme val="minor"/>
      </rPr>
      <t>2023</t>
    </r>
  </si>
  <si>
    <r>
      <t xml:space="preserve">2020, </t>
    </r>
    <r>
      <rPr>
        <b/>
        <sz val="11"/>
        <color theme="1"/>
        <rFont val="Calibri"/>
        <family val="2"/>
        <scheme val="minor"/>
      </rPr>
      <t>2022, 2023</t>
    </r>
  </si>
  <si>
    <r>
      <rPr>
        <b/>
        <sz val="11"/>
        <color theme="1"/>
        <rFont val="Calibri"/>
        <family val="2"/>
        <scheme val="minor"/>
      </rPr>
      <t>1983, 1984, 1985, 1990</t>
    </r>
    <r>
      <rPr>
        <sz val="11"/>
        <color theme="1"/>
        <rFont val="Calibri"/>
        <family val="2"/>
        <scheme val="minor"/>
      </rPr>
      <t xml:space="preserve">, 1996, </t>
    </r>
    <r>
      <rPr>
        <b/>
        <sz val="11"/>
        <color theme="1"/>
        <rFont val="Calibri"/>
        <family val="2"/>
        <scheme val="minor"/>
      </rPr>
      <t>2002/2003, 2004/2005, 2006, 2007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2008</t>
    </r>
    <r>
      <rPr>
        <sz val="11"/>
        <color theme="1"/>
        <rFont val="Calibri"/>
        <family val="2"/>
        <scheme val="minor"/>
      </rPr>
      <t>, 2016, 2020, 2024</t>
    </r>
  </si>
  <si>
    <r>
      <rPr>
        <b/>
        <sz val="11"/>
        <color theme="1"/>
        <rFont val="Calibri"/>
        <family val="2"/>
        <scheme val="minor"/>
      </rPr>
      <t xml:space="preserve">2009, 2010, </t>
    </r>
    <r>
      <rPr>
        <sz val="11"/>
        <color theme="1"/>
        <rFont val="Calibri"/>
        <family val="2"/>
        <scheme val="minor"/>
      </rPr>
      <t>2016</t>
    </r>
  </si>
  <si>
    <t>1992, 2000, 2004, 2008</t>
  </si>
  <si>
    <t>2004, 2012, 2016, 2020</t>
  </si>
  <si>
    <t>2004, 2012, 2016, 2020, 2024</t>
  </si>
  <si>
    <t>2008, 2020, 2024</t>
  </si>
  <si>
    <t>2004, 2024</t>
  </si>
  <si>
    <r>
      <t xml:space="preserve">2004, 2008, </t>
    </r>
    <r>
      <rPr>
        <b/>
        <sz val="11"/>
        <color theme="1"/>
        <rFont val="Calibri"/>
        <family val="2"/>
        <scheme val="minor"/>
      </rPr>
      <t>2017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2018, 2022, 2023</t>
    </r>
  </si>
  <si>
    <t>2008, 2020</t>
  </si>
  <si>
    <r>
      <t xml:space="preserve">2000, 2008, </t>
    </r>
    <r>
      <rPr>
        <b/>
        <sz val="11"/>
        <color theme="1"/>
        <rFont val="Calibri"/>
        <family val="2"/>
        <scheme val="minor"/>
      </rPr>
      <t>2021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2022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2023</t>
    </r>
  </si>
  <si>
    <t>2008, 2012, 2016, 2024</t>
  </si>
  <si>
    <t>2000, 2004, 2008, 2012, 2016, 2020, 2024</t>
  </si>
  <si>
    <t>1992, 2000, 2004, 2008, 2012, 2016, 2020, 2024</t>
  </si>
  <si>
    <t>2023, 2024</t>
  </si>
  <si>
    <r>
      <rPr>
        <b/>
        <sz val="11"/>
        <color theme="1"/>
        <rFont val="Calibri"/>
        <family val="2"/>
        <scheme val="minor"/>
      </rPr>
      <t>1993, 1994</t>
    </r>
    <r>
      <rPr>
        <sz val="11"/>
        <color theme="1"/>
        <rFont val="Calibri"/>
        <family val="2"/>
        <scheme val="minor"/>
      </rPr>
      <t>, 2008, 2016, 2020, 2024</t>
    </r>
  </si>
  <si>
    <t>2000, 2004, 2008, 2012, 2020, 2024</t>
  </si>
  <si>
    <r>
      <t xml:space="preserve">2004, 2008, </t>
    </r>
    <r>
      <rPr>
        <b/>
        <sz val="11"/>
        <color theme="1"/>
        <rFont val="Calibri"/>
        <family val="2"/>
        <scheme val="minor"/>
      </rPr>
      <t>2023, 2024</t>
    </r>
  </si>
  <si>
    <t>Registro</t>
  </si>
  <si>
    <t>Votorantim</t>
  </si>
  <si>
    <t>Niterói</t>
  </si>
  <si>
    <t>Jaboticabal</t>
  </si>
  <si>
    <t>Gaspar</t>
  </si>
  <si>
    <t>Cubatão</t>
  </si>
  <si>
    <t>Macaé</t>
  </si>
  <si>
    <t xml:space="preserve">Lauro de Freitas </t>
  </si>
  <si>
    <t xml:space="preserve">Olinda </t>
  </si>
  <si>
    <t xml:space="preserve">Diadema </t>
  </si>
  <si>
    <t xml:space="preserve">Brusque </t>
  </si>
  <si>
    <t xml:space="preserve">Bragança Paulista </t>
  </si>
  <si>
    <t xml:space="preserve">Toledo </t>
  </si>
  <si>
    <t xml:space="preserve">Dourados </t>
  </si>
  <si>
    <t xml:space="preserve">Porto Alegre </t>
  </si>
  <si>
    <t xml:space="preserve">Novo Hamburgo </t>
  </si>
  <si>
    <t xml:space="preserve">Natal </t>
  </si>
  <si>
    <t xml:space="preserve">Biguaçu </t>
  </si>
  <si>
    <t xml:space="preserve">Florianópolis </t>
  </si>
  <si>
    <t xml:space="preserve">Itajaí </t>
  </si>
  <si>
    <t xml:space="preserve">Caraguatatuba </t>
  </si>
  <si>
    <t xml:space="preserve">Ipatinga </t>
  </si>
  <si>
    <t xml:space="preserve">Atibaia </t>
  </si>
  <si>
    <t xml:space="preserve">Araraquara </t>
  </si>
  <si>
    <t xml:space="preserve">Suzano </t>
  </si>
  <si>
    <t xml:space="preserve">Itabira </t>
  </si>
  <si>
    <t xml:space="preserve">Belém </t>
  </si>
  <si>
    <t xml:space="preserve">Canoas </t>
  </si>
  <si>
    <t xml:space="preserve">Cuiabá </t>
  </si>
  <si>
    <t xml:space="preserve">Campina Grande </t>
  </si>
  <si>
    <t xml:space="preserve">Montes Claros </t>
  </si>
  <si>
    <t xml:space="preserve">São Paulo </t>
  </si>
  <si>
    <t xml:space="preserve">Recife </t>
  </si>
  <si>
    <t xml:space="preserve">Vitória da Conquista </t>
  </si>
  <si>
    <t>Brumadinho</t>
  </si>
  <si>
    <t>Itaboraí</t>
  </si>
  <si>
    <t>Aracruz</t>
  </si>
  <si>
    <t xml:space="preserve">Vila Velha </t>
  </si>
  <si>
    <t>São Leopoldo</t>
  </si>
  <si>
    <t>Embu das Artes</t>
  </si>
  <si>
    <t>Cachoeiro de Itapemirim</t>
  </si>
  <si>
    <t>Cariacica</t>
  </si>
  <si>
    <t>Contagem</t>
  </si>
  <si>
    <t xml:space="preserve">Salvador </t>
  </si>
  <si>
    <t>Hortolândia</t>
  </si>
  <si>
    <t xml:space="preserve">Serra </t>
  </si>
  <si>
    <t>São Bernardo do Campo</t>
  </si>
  <si>
    <t>Betim</t>
  </si>
  <si>
    <t>Ferraz de Vasconcelos</t>
  </si>
  <si>
    <t xml:space="preserve">Juazeiro do Norte </t>
  </si>
  <si>
    <t>Medianeira</t>
  </si>
  <si>
    <t>Nova Lima</t>
  </si>
  <si>
    <t>Osasco</t>
  </si>
  <si>
    <t>Pinhais</t>
  </si>
  <si>
    <t>Porto Seguro</t>
  </si>
  <si>
    <t>Santo André</t>
  </si>
  <si>
    <t>Timóteo</t>
  </si>
  <si>
    <t>2000, 2016</t>
  </si>
  <si>
    <t>Sapiranga</t>
  </si>
  <si>
    <t>Sapucaia do Sul</t>
  </si>
  <si>
    <t>Ubatuba</t>
  </si>
  <si>
    <t>IQIT_Fiscal_IMSF</t>
  </si>
  <si>
    <t>IQIT_Fiscal_IMAF</t>
  </si>
  <si>
    <t>IQIT_Fiscal_IMV</t>
  </si>
  <si>
    <t>IQIT_Fiscal_TOTAL</t>
  </si>
  <si>
    <t>IQIT_Particip_UE</t>
  </si>
  <si>
    <t>IQIT_Particip_MH</t>
  </si>
  <si>
    <t>Particip_UE_percapita</t>
  </si>
  <si>
    <t>Particip_MH_percapita</t>
  </si>
  <si>
    <t>IQIT_Instit_DI</t>
  </si>
  <si>
    <t>IQIT_Instit_IP</t>
  </si>
  <si>
    <t>IQIT_Instit_Status</t>
  </si>
  <si>
    <t>IQIT_Instit_ciclos_consec</t>
  </si>
  <si>
    <r>
      <t xml:space="preserve">1992, 1996, 2000, 2004, 2008, 2012, 2020, </t>
    </r>
    <r>
      <rPr>
        <b/>
        <sz val="11"/>
        <color theme="1"/>
        <rFont val="Calibri"/>
        <family val="2"/>
        <scheme val="minor"/>
      </rPr>
      <t>2021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2022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2023</t>
    </r>
  </si>
  <si>
    <t>Numero_edicoes_consec</t>
  </si>
  <si>
    <t>1992, 1996, 2016, 2020, 2024</t>
  </si>
  <si>
    <r>
      <t>2000, 2004, 2008, 2012, 2016,</t>
    </r>
    <r>
      <rPr>
        <b/>
        <sz val="11"/>
        <color theme="1"/>
        <rFont val="Calibri"/>
        <family val="2"/>
        <scheme val="minor"/>
      </rPr>
      <t xml:space="preserve"> 2020, 2021, 2022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2024</t>
    </r>
  </si>
  <si>
    <r>
      <t xml:space="preserve">2004, 2008, 2012,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2023</t>
    </r>
  </si>
  <si>
    <t>IQIT_Invest_UE_percapita</t>
  </si>
  <si>
    <t>IQIT_Invest_MH_percapita</t>
  </si>
  <si>
    <t>IQIT_Invest_UE_%</t>
  </si>
  <si>
    <t>IQIT_Invest_MH_%</t>
  </si>
  <si>
    <t>IQIT_Particip_TOTAL</t>
  </si>
  <si>
    <t>IQIT_Instit_ciclos</t>
  </si>
  <si>
    <t>IQIT_Instit_TOTAL</t>
  </si>
  <si>
    <t>IQIT_Invest_TOTAL</t>
  </si>
  <si>
    <t>Consulivo</t>
  </si>
  <si>
    <t>2000, 2004, 2008, 2020, 2024</t>
  </si>
  <si>
    <t>Particip_AH</t>
  </si>
  <si>
    <t>Particip_AH_percapita</t>
  </si>
  <si>
    <t>Valor_total_AH</t>
  </si>
  <si>
    <t>Valor_PC_AH</t>
  </si>
  <si>
    <t>Porcen_Invest_AH</t>
  </si>
  <si>
    <t>IQIT_Particip_AH</t>
  </si>
  <si>
    <t>IQIT_Invest_AH_percapita</t>
  </si>
  <si>
    <t>IQIT_Invest_AH_%</t>
  </si>
  <si>
    <t>IQIT_Final_TOTAL</t>
  </si>
  <si>
    <t>Cluster</t>
  </si>
  <si>
    <t>B</t>
  </si>
  <si>
    <t>C</t>
  </si>
  <si>
    <t>D</t>
  </si>
  <si>
    <t>A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</si>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</sst>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\ #,##0.00"/>
    <numFmt numFmtId="165" formatCode="0.000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5" fontId="3" fillId="0" borderId="0" xfId="0" applyNumberFormat="1" applyFont="1"/>
    <xf numFmtId="165" fontId="0" fillId="0" borderId="0" xfId="0" applyNumberFormat="1" applyAlignment="1">
      <alignment horizontal="center" vertical="center"/>
    </xf>
    <xf numFmtId="165" fontId="0" fillId="0" borderId="0" xfId="0" applyNumberFormat="1"/>
    <xf numFmtId="2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</cellXfs>
  <cellStyles count="2">
    <cellStyle name="Normal" xfId="0" builtinId="0"/>
    <cellStyle name="Normal 2" xfId="1" xr:uid="{563B53E0-EBA6-4FB1-B6F9-AEA7B63D4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F4BD-458A-49A3-B6A2-7A472D497C67}">
  <dimension ref="A1:BC315"/>
  <sheetViews>
    <sheetView tabSelected="1" zoomScale="50" zoomScaleNormal="50" workbookViewId="0">
      <pane ySplit="1" topLeftCell="A44" activePane="bottomLeft" state="frozen"/>
      <selection pane="bottomLeft" activeCell="G73" sqref="G73"/>
    </sheetView>
  </sheetViews>
  <sheetFormatPr defaultColWidth="8.88671875" defaultRowHeight="14.4" x14ac:dyDescent="0.3"/>
  <cols>
    <col min="1" max="1" width="28.77734375" style="2" customWidth="1"/>
    <col min="2" max="2" width="18.77734375" style="2" customWidth="1"/>
    <col min="3" max="3" width="35.21875" style="2" bestFit="1" customWidth="1"/>
    <col min="4" max="4" width="40.5546875" style="2" bestFit="1" customWidth="1"/>
    <col min="5" max="5" width="26.109375" style="2" bestFit="1" customWidth="1"/>
    <col min="6" max="6" width="40.5546875" style="2" bestFit="1" customWidth="1"/>
    <col min="7" max="7" width="24.77734375" style="2" bestFit="1" customWidth="1"/>
    <col min="8" max="8" width="24.77734375" style="2" customWidth="1"/>
    <col min="9" max="9" width="34.33203125" style="2" hidden="1" customWidth="1"/>
    <col min="10" max="10" width="15.88671875" style="2" hidden="1" customWidth="1"/>
    <col min="11" max="11" width="24.77734375" style="8" hidden="1" customWidth="1"/>
    <col min="12" max="12" width="26.109375" style="8" hidden="1" customWidth="1"/>
    <col min="13" max="13" width="22.33203125" style="8" hidden="1" customWidth="1"/>
    <col min="14" max="14" width="24.33203125" style="4" hidden="1" customWidth="1"/>
    <col min="15" max="15" width="36.5546875" style="6" hidden="1" customWidth="1"/>
    <col min="16" max="16" width="25.21875" style="4" hidden="1" customWidth="1"/>
    <col min="17" max="17" width="37.44140625" style="6" hidden="1" customWidth="1"/>
    <col min="18" max="18" width="24.77734375" style="4" hidden="1" customWidth="1"/>
    <col min="19" max="19" width="37" style="6" hidden="1" customWidth="1"/>
    <col min="20" max="20" width="23.21875" style="2" hidden="1" customWidth="1"/>
    <col min="21" max="21" width="18.109375" style="2" hidden="1" customWidth="1"/>
    <col min="22" max="22" width="28.109375" style="5" hidden="1" customWidth="1"/>
    <col min="23" max="23" width="29.21875" style="5" hidden="1" customWidth="1"/>
    <col min="24" max="24" width="28.77734375" style="5" hidden="1" customWidth="1"/>
    <col min="25" max="25" width="26.33203125" style="5" hidden="1" customWidth="1"/>
    <col min="26" max="26" width="27.21875" style="5" hidden="1" customWidth="1"/>
    <col min="27" max="27" width="26.77734375" style="5" hidden="1" customWidth="1"/>
    <col min="28" max="28" width="32.109375" style="6" hidden="1" customWidth="1"/>
    <col min="29" max="29" width="33" style="6" hidden="1" customWidth="1"/>
    <col min="30" max="30" width="32.5546875" style="6" hidden="1" customWidth="1"/>
    <col min="31" max="31" width="95" style="2" hidden="1" customWidth="1"/>
    <col min="32" max="32" width="37.21875" style="2" hidden="1" customWidth="1"/>
    <col min="33" max="33" width="40.33203125" style="2" hidden="1" customWidth="1"/>
    <col min="34" max="34" width="31.44140625" style="2" hidden="1" customWidth="1"/>
    <col min="35" max="35" width="31.6640625" style="2" hidden="1" customWidth="1"/>
    <col min="36" max="36" width="29.88671875" style="2" hidden="1" customWidth="1"/>
    <col min="37" max="37" width="33.6640625" style="2" bestFit="1" customWidth="1"/>
    <col min="38" max="38" width="30.5546875" style="10" hidden="1" customWidth="1"/>
    <col min="39" max="39" width="31.44140625" style="10" hidden="1" customWidth="1"/>
    <col min="40" max="40" width="31" style="10" hidden="1" customWidth="1"/>
    <col min="41" max="41" width="35.6640625" style="11" bestFit="1" customWidth="1"/>
    <col min="42" max="42" width="26.5546875" style="10" hidden="1" customWidth="1"/>
    <col min="43" max="43" width="31.6640625" style="10" hidden="1" customWidth="1"/>
    <col min="44" max="44" width="26.5546875" style="10" hidden="1" customWidth="1"/>
    <col min="45" max="45" width="31.21875" style="10" hidden="1" customWidth="1"/>
    <col min="46" max="46" width="41.21875" style="10" hidden="1" customWidth="1"/>
    <col min="47" max="47" width="32.33203125" style="10" bestFit="1" customWidth="1"/>
    <col min="48" max="48" width="40.77734375" style="10" hidden="1" customWidth="1"/>
    <col min="49" max="49" width="41.6640625" style="10" hidden="1" customWidth="1"/>
    <col min="50" max="50" width="41.21875" style="10" hidden="1" customWidth="1"/>
    <col min="51" max="51" width="31.6640625" style="10" hidden="1" customWidth="1"/>
    <col min="52" max="52" width="32.5546875" style="10" hidden="1" customWidth="1"/>
    <col min="53" max="53" width="32.109375" style="10" hidden="1" customWidth="1"/>
    <col min="54" max="54" width="33.6640625" style="10" bestFit="1" customWidth="1"/>
    <col min="55" max="55" width="33.6640625" style="10" customWidth="1"/>
    <col min="56" max="16384" width="8.88671875" style="2"/>
  </cols>
  <sheetData>
    <row r="1" spans="1:55" s="1" customForma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659</v>
      </c>
      <c r="G1" s="1" t="s">
        <v>4</v>
      </c>
      <c r="H1" s="1" t="s">
        <v>883</v>
      </c>
      <c r="I1" s="1" t="s">
        <v>676</v>
      </c>
      <c r="J1" s="1" t="s">
        <v>311</v>
      </c>
      <c r="K1" s="1" t="s">
        <v>675</v>
      </c>
      <c r="L1" s="1" t="s">
        <v>673</v>
      </c>
      <c r="M1" s="1" t="s">
        <v>674</v>
      </c>
      <c r="N1" s="1" t="s">
        <v>5</v>
      </c>
      <c r="O1" s="1" t="s">
        <v>853</v>
      </c>
      <c r="P1" s="1" t="s">
        <v>6</v>
      </c>
      <c r="Q1" s="1" t="s">
        <v>854</v>
      </c>
      <c r="R1" s="1" t="s">
        <v>874</v>
      </c>
      <c r="S1" s="1" t="s">
        <v>875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876</v>
      </c>
      <c r="Y1" s="1" t="s">
        <v>12</v>
      </c>
      <c r="Z1" s="1" t="s">
        <v>13</v>
      </c>
      <c r="AA1" s="1" t="s">
        <v>877</v>
      </c>
      <c r="AB1" s="1" t="s">
        <v>11</v>
      </c>
      <c r="AC1" s="1" t="s">
        <v>14</v>
      </c>
      <c r="AD1" s="1" t="s">
        <v>878</v>
      </c>
      <c r="AE1" s="1" t="s">
        <v>15</v>
      </c>
      <c r="AF1" s="1" t="s">
        <v>16</v>
      </c>
      <c r="AG1" s="1" t="s">
        <v>860</v>
      </c>
      <c r="AH1" s="1" t="s">
        <v>847</v>
      </c>
      <c r="AI1" s="1" t="s">
        <v>848</v>
      </c>
      <c r="AJ1" s="1" t="s">
        <v>849</v>
      </c>
      <c r="AK1" s="1" t="s">
        <v>850</v>
      </c>
      <c r="AL1" s="1" t="s">
        <v>851</v>
      </c>
      <c r="AM1" s="1" t="s">
        <v>852</v>
      </c>
      <c r="AN1" s="1" t="s">
        <v>879</v>
      </c>
      <c r="AO1" s="1" t="s">
        <v>868</v>
      </c>
      <c r="AP1" s="1" t="s">
        <v>855</v>
      </c>
      <c r="AQ1" s="1" t="s">
        <v>857</v>
      </c>
      <c r="AR1" s="1" t="s">
        <v>856</v>
      </c>
      <c r="AS1" s="1" t="s">
        <v>869</v>
      </c>
      <c r="AT1" s="1" t="s">
        <v>858</v>
      </c>
      <c r="AU1" s="1" t="s">
        <v>870</v>
      </c>
      <c r="AV1" s="1" t="s">
        <v>864</v>
      </c>
      <c r="AW1" s="1" t="s">
        <v>865</v>
      </c>
      <c r="AX1" s="1" t="s">
        <v>880</v>
      </c>
      <c r="AY1" s="1" t="s">
        <v>866</v>
      </c>
      <c r="AZ1" s="1" t="s">
        <v>867</v>
      </c>
      <c r="BA1" s="1" t="s">
        <v>881</v>
      </c>
      <c r="BB1" s="1" t="s">
        <v>871</v>
      </c>
      <c r="BC1" s="1" t="s">
        <v>882</v>
      </c>
    </row>
    <row r="2" spans="1:55" x14ac:dyDescent="0.3">
      <c r="A2" s="2" t="s">
        <v>502</v>
      </c>
      <c r="B2" s="2" t="s">
        <v>167</v>
      </c>
      <c r="C2" s="2" t="s">
        <v>179</v>
      </c>
      <c r="D2" s="2" t="s">
        <v>179</v>
      </c>
      <c r="E2" s="2" t="s">
        <v>800</v>
      </c>
      <c r="F2" s="2" t="s">
        <v>179</v>
      </c>
      <c r="G2" s="2" t="s">
        <v>653</v>
      </c>
      <c r="H2" s="2" t="s">
        <v>887</v>
      </c>
      <c r="I2" s="2" t="s">
        <v>179</v>
      </c>
      <c r="J2" s="2">
        <v>1</v>
      </c>
      <c r="K2" s="9">
        <v>0.67833421151260298</v>
      </c>
      <c r="L2" s="9">
        <v>1</v>
      </c>
      <c r="M2" s="9">
        <v>0.48957737001857449</v>
      </c>
      <c r="N2" s="4">
        <v>13019</v>
      </c>
      <c r="O2" s="6">
        <f>N2/1404269</f>
        <v>9.271015738437579E-3</v>
      </c>
      <c r="P2" s="4">
        <v>11468</v>
      </c>
      <c r="Q2" s="6">
        <f>P2/1359403</f>
        <v>8.4360561216945962E-3</v>
      </c>
      <c r="R2" s="4">
        <v>20661</v>
      </c>
      <c r="S2" s="6">
        <f>R2/1384971</f>
        <v>1.4918001893180434E-2</v>
      </c>
      <c r="T2" s="2" t="s">
        <v>724</v>
      </c>
      <c r="U2" s="2" t="s">
        <v>722</v>
      </c>
      <c r="V2" s="5">
        <v>15000000</v>
      </c>
      <c r="W2" s="5">
        <v>736257585.71000004</v>
      </c>
      <c r="X2" s="5">
        <v>5000405035</v>
      </c>
      <c r="Y2" s="5">
        <f>V2/1404269</f>
        <v>10.681714116027628</v>
      </c>
      <c r="Z2" s="5">
        <f>W2/1359403</f>
        <v>541.60361990520846</v>
      </c>
      <c r="AA2" s="12">
        <f>X2/1311996</f>
        <v>3811.2959452620285</v>
      </c>
      <c r="AB2" s="6">
        <v>2.93E-2</v>
      </c>
      <c r="AC2" s="6">
        <v>0.38080000000000003</v>
      </c>
      <c r="AD2" s="6">
        <v>1</v>
      </c>
      <c r="AE2" s="2" t="s">
        <v>739</v>
      </c>
      <c r="AF2" s="2">
        <v>31</v>
      </c>
      <c r="AG2" s="2">
        <v>28</v>
      </c>
      <c r="AH2" s="8">
        <f>K2</f>
        <v>0.67833421151260298</v>
      </c>
      <c r="AI2" s="8">
        <f>L2</f>
        <v>1</v>
      </c>
      <c r="AJ2" s="8">
        <f>M2</f>
        <v>0.48957737001857449</v>
      </c>
      <c r="AK2" s="8">
        <f>AVERAGE(AH2:AJ2)</f>
        <v>0.72263719384372582</v>
      </c>
      <c r="AL2" s="11">
        <f>(O2/12.69)*100</f>
        <v>7.3057649633077842E-2</v>
      </c>
      <c r="AM2" s="11">
        <f>(Q2/9.99)*100</f>
        <v>8.4445006223169139E-2</v>
      </c>
      <c r="AN2" s="11">
        <f>(S2/12.69)*100</f>
        <v>0.11755714651836434</v>
      </c>
      <c r="AO2" s="11">
        <f>AVERAGE(AL2:AN2)</f>
        <v>9.1686600791537107E-2</v>
      </c>
      <c r="AP2" s="10">
        <v>1</v>
      </c>
      <c r="AQ2" s="10">
        <v>1</v>
      </c>
      <c r="AR2" s="10">
        <v>1</v>
      </c>
      <c r="AS2" s="10">
        <f>AF2/32</f>
        <v>0.96875</v>
      </c>
      <c r="AT2" s="10">
        <f>AG2/28</f>
        <v>1</v>
      </c>
      <c r="AU2" s="10">
        <f>AVERAGE(AP2:AT2)*2</f>
        <v>1.9875</v>
      </c>
      <c r="AV2" s="11">
        <f>Y2/776.02</f>
        <v>1.3764740748985371E-2</v>
      </c>
      <c r="AW2" s="11">
        <f>Z2/639.8</f>
        <v>0.84652019366240783</v>
      </c>
      <c r="AX2" s="11">
        <v>3</v>
      </c>
      <c r="AY2" s="11">
        <f>AB2</f>
        <v>2.93E-2</v>
      </c>
      <c r="AZ2" s="11">
        <f>AC2</f>
        <v>0.38080000000000003</v>
      </c>
      <c r="BA2" s="11">
        <f>AD2</f>
        <v>1</v>
      </c>
      <c r="BB2" s="10">
        <f>AVERAGE(AV2:BA2)*2</f>
        <v>1.7567949781371313</v>
      </c>
      <c r="BC2" s="10">
        <f>AVERAGE(AK2,AO2,AU2,BB2)</f>
        <v>1.1396546931930986</v>
      </c>
    </row>
    <row r="3" spans="1:55" x14ac:dyDescent="0.3">
      <c r="A3" s="2" t="s">
        <v>567</v>
      </c>
      <c r="B3" s="2" t="s">
        <v>201</v>
      </c>
      <c r="C3" s="2" t="s">
        <v>249</v>
      </c>
      <c r="D3" s="2" t="s">
        <v>249</v>
      </c>
      <c r="E3" s="2" t="s">
        <v>222</v>
      </c>
      <c r="F3" s="2" t="s">
        <v>249</v>
      </c>
      <c r="G3" s="2" t="s">
        <v>657</v>
      </c>
      <c r="H3" s="2" t="s">
        <v>884</v>
      </c>
      <c r="I3" s="2" t="s">
        <v>249</v>
      </c>
      <c r="J3" s="2">
        <v>1</v>
      </c>
      <c r="T3" s="2" t="s">
        <v>724</v>
      </c>
      <c r="U3" s="2" t="s">
        <v>722</v>
      </c>
      <c r="AE3" s="2" t="s">
        <v>698</v>
      </c>
      <c r="AF3" s="2">
        <v>20</v>
      </c>
      <c r="AG3" s="2">
        <v>20</v>
      </c>
      <c r="AH3" s="8">
        <v>0.57769151306332123</v>
      </c>
      <c r="AI3" s="8">
        <v>1</v>
      </c>
      <c r="AJ3" s="8">
        <v>0.30891172388642352</v>
      </c>
      <c r="AK3" s="8">
        <f>AVERAGE(AH3:AJ3)</f>
        <v>0.62886774564991488</v>
      </c>
      <c r="AP3" s="10">
        <v>1</v>
      </c>
      <c r="AQ3" s="10">
        <v>1</v>
      </c>
      <c r="AR3" s="10">
        <v>1</v>
      </c>
      <c r="AS3" s="10">
        <f>AF3/32</f>
        <v>0.625</v>
      </c>
      <c r="AT3" s="10">
        <f>AG3/28</f>
        <v>0.7142857142857143</v>
      </c>
      <c r="AU3" s="10">
        <f>AVERAGE(AP3:AT3)*2</f>
        <v>1.7357142857142858</v>
      </c>
    </row>
    <row r="4" spans="1:55" x14ac:dyDescent="0.3">
      <c r="A4" s="2" t="s">
        <v>589</v>
      </c>
      <c r="B4" s="2" t="s">
        <v>201</v>
      </c>
      <c r="C4" s="2" t="s">
        <v>215</v>
      </c>
      <c r="D4" s="2" t="s">
        <v>238</v>
      </c>
      <c r="E4" s="2" t="s">
        <v>238</v>
      </c>
      <c r="F4" s="2" t="s">
        <v>238</v>
      </c>
      <c r="G4" s="2" t="s">
        <v>651</v>
      </c>
      <c r="H4" s="2" t="s">
        <v>886</v>
      </c>
      <c r="I4" s="2" t="s">
        <v>249</v>
      </c>
      <c r="J4" s="2">
        <v>2</v>
      </c>
      <c r="K4" s="9">
        <v>0.68289838719301765</v>
      </c>
      <c r="L4" s="9">
        <v>1</v>
      </c>
      <c r="M4" s="9">
        <v>0.24292320165181749</v>
      </c>
      <c r="N4" s="4">
        <v>300</v>
      </c>
      <c r="O4" s="6">
        <f>N4/434432</f>
        <v>6.905568650559811E-4</v>
      </c>
      <c r="P4" s="4">
        <v>3856</v>
      </c>
      <c r="Q4" s="6">
        <f>P4/349141</f>
        <v>1.1044248598703675E-2</v>
      </c>
      <c r="R4" s="4">
        <v>10000</v>
      </c>
      <c r="S4" s="6">
        <f>R4/283834</f>
        <v>3.5231860876427774E-2</v>
      </c>
      <c r="T4" s="2" t="s">
        <v>724</v>
      </c>
      <c r="U4" s="2" t="s">
        <v>722</v>
      </c>
      <c r="V4" s="5">
        <v>1000000</v>
      </c>
      <c r="W4" s="5">
        <v>16504247.210000001</v>
      </c>
      <c r="X4" s="5">
        <v>32008494.420000002</v>
      </c>
      <c r="Y4" s="5">
        <f>V4/434432</f>
        <v>2.3018562168532704</v>
      </c>
      <c r="Z4" s="5">
        <f>W4/381795</f>
        <v>43.22803391872602</v>
      </c>
      <c r="AA4" s="5">
        <f>X4/346645</f>
        <v>92.337966565218025</v>
      </c>
      <c r="AB4" s="6">
        <v>5.7999999999999996E-3</v>
      </c>
      <c r="AC4" s="6">
        <v>0.1</v>
      </c>
      <c r="AD4" s="6">
        <v>0.1</v>
      </c>
      <c r="AE4" s="2" t="s">
        <v>781</v>
      </c>
      <c r="AF4" s="2">
        <v>32</v>
      </c>
      <c r="AG4" s="2">
        <v>28</v>
      </c>
      <c r="AH4" s="8">
        <f>K4</f>
        <v>0.68289838719301765</v>
      </c>
      <c r="AI4" s="8">
        <f>L4</f>
        <v>1</v>
      </c>
      <c r="AJ4" s="8">
        <f>M4</f>
        <v>0.24292320165181749</v>
      </c>
      <c r="AK4" s="8">
        <f>AVERAGE(AH4:AJ4)</f>
        <v>0.64194052961494508</v>
      </c>
      <c r="AL4" s="11">
        <f>(O4/12.69)*100</f>
        <v>5.4417404653741615E-3</v>
      </c>
      <c r="AM4" s="11">
        <f>(Q4/9.99)*100</f>
        <v>0.11055303902606281</v>
      </c>
      <c r="AN4" s="11">
        <f>(S4/12.69)*100</f>
        <v>0.27763483748170037</v>
      </c>
      <c r="AO4" s="11">
        <f>AVERAGE(AL4:AN4)</f>
        <v>0.13120987232437911</v>
      </c>
      <c r="AP4" s="10">
        <v>1</v>
      </c>
      <c r="AQ4" s="10">
        <v>1</v>
      </c>
      <c r="AR4" s="10">
        <v>0.25</v>
      </c>
      <c r="AS4" s="10">
        <f>AF4/32</f>
        <v>1</v>
      </c>
      <c r="AT4" s="10">
        <f>AG4/28</f>
        <v>1</v>
      </c>
      <c r="AU4" s="10">
        <f>AVERAGE(AP4:AT4)*2</f>
        <v>1.7</v>
      </c>
      <c r="AV4" s="11">
        <f>Y4/776.02</f>
        <v>2.9662331084936862E-3</v>
      </c>
      <c r="AW4" s="11">
        <f>Z4/639.8</f>
        <v>6.7564917034582714E-2</v>
      </c>
      <c r="AX4" s="11">
        <f>AA4/804.19</f>
        <v>0.11482108278543382</v>
      </c>
      <c r="AY4" s="11">
        <f>AB4</f>
        <v>5.7999999999999996E-3</v>
      </c>
      <c r="AZ4" s="11">
        <f>AC4</f>
        <v>0.1</v>
      </c>
      <c r="BA4" s="11">
        <f>AD4</f>
        <v>0.1</v>
      </c>
      <c r="BB4" s="10">
        <f>AVERAGE(AV4:BA4)*2</f>
        <v>0.13038407764283674</v>
      </c>
      <c r="BC4" s="10">
        <f>AVERAGE(AK4,AO4,AU4,BB4)</f>
        <v>0.65088361989554022</v>
      </c>
    </row>
    <row r="5" spans="1:55" x14ac:dyDescent="0.3">
      <c r="A5" s="2" t="s">
        <v>340</v>
      </c>
      <c r="B5" s="2" t="s">
        <v>41</v>
      </c>
      <c r="C5" s="2" t="s">
        <v>44</v>
      </c>
      <c r="D5" s="2" t="s">
        <v>44</v>
      </c>
      <c r="E5" s="3" t="s">
        <v>44</v>
      </c>
      <c r="F5" s="3" t="s">
        <v>44</v>
      </c>
      <c r="G5" s="2" t="s">
        <v>653</v>
      </c>
      <c r="H5" s="2" t="s">
        <v>887</v>
      </c>
      <c r="I5" s="2" t="s">
        <v>44</v>
      </c>
      <c r="J5" s="2">
        <v>1</v>
      </c>
      <c r="K5" s="9">
        <v>0.2008264971816251</v>
      </c>
      <c r="L5" s="9">
        <v>0</v>
      </c>
      <c r="M5" s="9">
        <v>0.14443253442968079</v>
      </c>
      <c r="N5" s="4">
        <v>786</v>
      </c>
      <c r="O5" s="6">
        <f>N5/2596157</f>
        <v>3.0275518776406822E-4</v>
      </c>
      <c r="P5" s="4">
        <v>12400</v>
      </c>
      <c r="Q5" s="6">
        <f>P5/2396581</f>
        <v>5.1740375142755451E-3</v>
      </c>
      <c r="R5" s="4">
        <v>30000</v>
      </c>
      <c r="S5" s="6">
        <f>R5/2452185</f>
        <v>1.2233987239951309E-2</v>
      </c>
      <c r="T5" s="2" t="s">
        <v>724</v>
      </c>
      <c r="U5" s="2" t="s">
        <v>722</v>
      </c>
      <c r="V5" s="5">
        <v>307692812</v>
      </c>
      <c r="W5" s="5">
        <v>533650767</v>
      </c>
      <c r="X5" s="5">
        <v>876956056</v>
      </c>
      <c r="Y5" s="5">
        <f>V5/2452185</f>
        <v>125.47699786109123</v>
      </c>
      <c r="Z5" s="5">
        <f>W5/2296794</f>
        <v>232.34594264875301</v>
      </c>
      <c r="AA5" s="5">
        <f>X5/2452185</f>
        <v>357.62230663673415</v>
      </c>
      <c r="AB5" s="6">
        <v>0.1489</v>
      </c>
      <c r="AC5" s="6">
        <v>0.26369999999999999</v>
      </c>
      <c r="AD5" s="6">
        <v>0.43280000000000002</v>
      </c>
      <c r="AE5" s="2" t="s">
        <v>740</v>
      </c>
      <c r="AF5" s="2">
        <v>18</v>
      </c>
      <c r="AG5" s="2">
        <v>17</v>
      </c>
      <c r="AH5" s="8">
        <f>K5</f>
        <v>0.2008264971816251</v>
      </c>
      <c r="AI5" s="8">
        <f>L5</f>
        <v>0</v>
      </c>
      <c r="AJ5" s="8">
        <f>M5</f>
        <v>0.14443253442968079</v>
      </c>
      <c r="AK5" s="8">
        <f>AVERAGE(AH5:AJ5)</f>
        <v>0.1150863438704353</v>
      </c>
      <c r="AL5" s="11">
        <f>(O5/12.69)*100</f>
        <v>2.3857776813559356E-3</v>
      </c>
      <c r="AM5" s="11">
        <f>(Q5/9.99)*100</f>
        <v>5.1792167310065515E-2</v>
      </c>
      <c r="AN5" s="11">
        <f>(S5/12.69)*100</f>
        <v>9.6406518833343641E-2</v>
      </c>
      <c r="AO5" s="11">
        <f>AVERAGE(AL5:AN5)</f>
        <v>5.0194821274921697E-2</v>
      </c>
      <c r="AP5" s="10">
        <v>1</v>
      </c>
      <c r="AQ5" s="10">
        <v>1</v>
      </c>
      <c r="AR5" s="10">
        <v>1</v>
      </c>
      <c r="AS5" s="10">
        <f>AF5/32</f>
        <v>0.5625</v>
      </c>
      <c r="AT5" s="10">
        <f>AG5/28</f>
        <v>0.6071428571428571</v>
      </c>
      <c r="AU5" s="10">
        <f>AVERAGE(AP5:AT5)*2</f>
        <v>1.6678571428571427</v>
      </c>
      <c r="AV5" s="11">
        <f>Y5/776.02</f>
        <v>0.16169299484689986</v>
      </c>
      <c r="AW5" s="11">
        <f>Z5/639.8</f>
        <v>0.36315402102024541</v>
      </c>
      <c r="AX5" s="11">
        <f>AA5/804.19</f>
        <v>0.44469877346986925</v>
      </c>
      <c r="AY5" s="11">
        <f>AB5</f>
        <v>0.1489</v>
      </c>
      <c r="AZ5" s="11">
        <f>AC5</f>
        <v>0.26369999999999999</v>
      </c>
      <c r="BA5" s="11">
        <f>AD5</f>
        <v>0.43280000000000002</v>
      </c>
      <c r="BB5" s="10">
        <f>AVERAGE(AV5:BA5)*2</f>
        <v>0.60498192977900489</v>
      </c>
      <c r="BC5" s="10">
        <f>AVERAGE(AK5,AO5,AU5,BB5)</f>
        <v>0.60953005944537608</v>
      </c>
    </row>
    <row r="6" spans="1:55" x14ac:dyDescent="0.3">
      <c r="A6" s="2" t="s">
        <v>370</v>
      </c>
      <c r="B6" s="2" t="s">
        <v>63</v>
      </c>
      <c r="C6" s="2" t="s">
        <v>67</v>
      </c>
      <c r="D6" s="2" t="s">
        <v>67</v>
      </c>
      <c r="E6" s="3" t="s">
        <v>67</v>
      </c>
      <c r="F6" s="3" t="s">
        <v>67</v>
      </c>
      <c r="G6" s="2" t="s">
        <v>652</v>
      </c>
      <c r="H6" s="2" t="s">
        <v>885</v>
      </c>
      <c r="I6" s="2" t="s">
        <v>44</v>
      </c>
      <c r="J6" s="2">
        <v>2</v>
      </c>
      <c r="K6" s="9">
        <v>0.55460612180298097</v>
      </c>
      <c r="L6" s="9">
        <v>1</v>
      </c>
      <c r="M6" s="9">
        <v>0.34721044517493899</v>
      </c>
      <c r="N6" s="4" t="s">
        <v>662</v>
      </c>
      <c r="P6" s="4" t="s">
        <v>662</v>
      </c>
      <c r="T6" s="2" t="s">
        <v>724</v>
      </c>
      <c r="U6" s="2" t="s">
        <v>722</v>
      </c>
      <c r="V6" s="5">
        <v>3219422.94</v>
      </c>
      <c r="W6" s="5">
        <v>82009237.739999995</v>
      </c>
      <c r="X6" s="5">
        <v>164589921.11000001</v>
      </c>
      <c r="Y6" s="5">
        <f>V6/1061374</f>
        <v>3.0332596615330694</v>
      </c>
      <c r="Z6" s="5">
        <f>W6/965701</f>
        <v>84.921976615950484</v>
      </c>
      <c r="AA6" s="5">
        <f>X6/870028</f>
        <v>189.1777288891852</v>
      </c>
      <c r="AB6" s="6">
        <v>1.26E-2</v>
      </c>
      <c r="AC6" s="6">
        <v>0.31619999999999998</v>
      </c>
      <c r="AD6" s="6">
        <v>0.49730000000000002</v>
      </c>
      <c r="AE6" s="2" t="s">
        <v>780</v>
      </c>
      <c r="AF6" s="2">
        <v>28</v>
      </c>
      <c r="AG6" s="2">
        <v>28</v>
      </c>
      <c r="AH6" s="8">
        <f>K6</f>
        <v>0.55460612180298097</v>
      </c>
      <c r="AI6" s="8">
        <f>L6</f>
        <v>1</v>
      </c>
      <c r="AJ6" s="8">
        <f>M6</f>
        <v>0.34721044517493899</v>
      </c>
      <c r="AK6" s="8">
        <f>AVERAGE(AH6:AJ6)</f>
        <v>0.63393885565930663</v>
      </c>
      <c r="AP6" s="10">
        <v>1</v>
      </c>
      <c r="AQ6" s="10">
        <v>1</v>
      </c>
      <c r="AR6" s="10">
        <v>0.25</v>
      </c>
      <c r="AS6" s="10">
        <f>AF6/32</f>
        <v>0.875</v>
      </c>
      <c r="AT6" s="10">
        <f>AG6/28</f>
        <v>1</v>
      </c>
      <c r="AU6" s="10">
        <f>AVERAGE(AP6:AT6)*2</f>
        <v>1.65</v>
      </c>
      <c r="AV6" s="11">
        <f>Y6/776.02</f>
        <v>3.9087390293202099E-3</v>
      </c>
      <c r="AW6" s="11">
        <f>Z6/639.8</f>
        <v>0.13273206723343309</v>
      </c>
      <c r="AX6" s="11">
        <f>AA6/804.19</f>
        <v>0.2352400911341663</v>
      </c>
      <c r="AY6" s="11">
        <f>AB6</f>
        <v>1.26E-2</v>
      </c>
      <c r="AZ6" s="11">
        <f>AC6</f>
        <v>0.31619999999999998</v>
      </c>
      <c r="BA6" s="11">
        <f>AD6</f>
        <v>0.49730000000000002</v>
      </c>
      <c r="BB6" s="10">
        <f>AVERAGE(AV6:BA6)*2</f>
        <v>0.39932696579897325</v>
      </c>
    </row>
    <row r="7" spans="1:55" x14ac:dyDescent="0.3">
      <c r="A7" s="2" t="s">
        <v>517</v>
      </c>
      <c r="B7" s="2" t="s">
        <v>186</v>
      </c>
      <c r="C7" s="2" t="s">
        <v>192</v>
      </c>
      <c r="D7" s="2" t="s">
        <v>192</v>
      </c>
      <c r="E7" s="2" t="s">
        <v>803</v>
      </c>
      <c r="F7" s="2" t="s">
        <v>192</v>
      </c>
      <c r="G7" s="2" t="s">
        <v>653</v>
      </c>
      <c r="H7" s="2" t="s">
        <v>884</v>
      </c>
      <c r="I7" s="2" t="s">
        <v>192</v>
      </c>
      <c r="J7" s="2">
        <v>1</v>
      </c>
      <c r="K7" s="9">
        <v>0.73055961848147788</v>
      </c>
      <c r="L7" s="9">
        <v>1</v>
      </c>
      <c r="M7" s="9">
        <v>0.57269894985417102</v>
      </c>
      <c r="N7" s="4">
        <v>900</v>
      </c>
      <c r="O7" s="6">
        <f>N7/78623</f>
        <v>1.1447032038970784E-2</v>
      </c>
      <c r="P7" s="4">
        <v>900</v>
      </c>
      <c r="Q7" s="6">
        <f>O7</f>
        <v>1.1447032038970784E-2</v>
      </c>
      <c r="R7" s="4">
        <v>900</v>
      </c>
      <c r="S7" s="6">
        <v>1.1447032038970784E-2</v>
      </c>
      <c r="T7" s="2" t="s">
        <v>724</v>
      </c>
      <c r="U7" s="2" t="s">
        <v>722</v>
      </c>
      <c r="V7" s="5">
        <v>19000000</v>
      </c>
      <c r="W7" s="5">
        <v>14379334.369999999</v>
      </c>
      <c r="X7" s="5">
        <v>19000000</v>
      </c>
      <c r="Y7" s="5">
        <f>V7/78623</f>
        <v>241.65956526716101</v>
      </c>
      <c r="Z7" s="5">
        <f>W7/63350</f>
        <v>226.98238942383583</v>
      </c>
      <c r="AA7" s="5">
        <f>X7/78623</f>
        <v>241.65956526716101</v>
      </c>
      <c r="AB7" s="6">
        <v>0.1</v>
      </c>
      <c r="AC7" s="6">
        <v>0.1</v>
      </c>
      <c r="AD7" s="6">
        <v>0.1</v>
      </c>
      <c r="AE7" s="2" t="s">
        <v>737</v>
      </c>
      <c r="AF7" s="2">
        <v>17</v>
      </c>
      <c r="AG7" s="2">
        <v>16</v>
      </c>
      <c r="AH7" s="8">
        <f>K7</f>
        <v>0.73055961848147788</v>
      </c>
      <c r="AI7" s="8">
        <f>L7</f>
        <v>1</v>
      </c>
      <c r="AJ7" s="8">
        <f>M7</f>
        <v>0.57269894985417102</v>
      </c>
      <c r="AK7" s="8">
        <f>AVERAGE(AH7:AJ7)</f>
        <v>0.76775285611188304</v>
      </c>
      <c r="AL7" s="11">
        <f>(O7/12.69)*100</f>
        <v>9.0205138210959684E-2</v>
      </c>
      <c r="AM7" s="11">
        <f>(Q7/9.99)*100</f>
        <v>0.11458490529500284</v>
      </c>
      <c r="AN7" s="11">
        <f>(S7/12.69)*100</f>
        <v>9.0205138210959684E-2</v>
      </c>
      <c r="AO7" s="11">
        <f>AVERAGE(AL7:AN7)</f>
        <v>9.8331727238974057E-2</v>
      </c>
      <c r="AP7" s="10">
        <v>1</v>
      </c>
      <c r="AQ7" s="10">
        <v>1</v>
      </c>
      <c r="AR7" s="10">
        <v>1</v>
      </c>
      <c r="AS7" s="10">
        <f>AF7/32</f>
        <v>0.53125</v>
      </c>
      <c r="AT7" s="10">
        <f>AG7/28</f>
        <v>0.5714285714285714</v>
      </c>
      <c r="AU7" s="10">
        <f>AVERAGE(AP7:AT7)*2</f>
        <v>1.6410714285714285</v>
      </c>
      <c r="AV7" s="11">
        <f>Y7/776.02</f>
        <v>0.31140893954686866</v>
      </c>
      <c r="AW7" s="11">
        <f>Z7/639.8</f>
        <v>0.35477084936517012</v>
      </c>
      <c r="AX7" s="11">
        <f>AA7/804.19</f>
        <v>0.300500584771212</v>
      </c>
      <c r="AY7" s="11">
        <f>AB7</f>
        <v>0.1</v>
      </c>
      <c r="AZ7" s="11">
        <f>AC7</f>
        <v>0.1</v>
      </c>
      <c r="BA7" s="11">
        <f>AD7</f>
        <v>0.1</v>
      </c>
      <c r="BB7" s="10">
        <f>AVERAGE(AV7:BA7)*2</f>
        <v>0.42222679122775036</v>
      </c>
      <c r="BC7" s="10">
        <f>AVERAGE(AK7,AO7,AU7,BB7)</f>
        <v>0.73234570078750894</v>
      </c>
    </row>
    <row r="8" spans="1:55" x14ac:dyDescent="0.3">
      <c r="A8" s="2" t="s">
        <v>425</v>
      </c>
      <c r="B8" s="2" t="s">
        <v>113</v>
      </c>
      <c r="C8" s="2" t="s">
        <v>115</v>
      </c>
      <c r="D8" s="2" t="s">
        <v>115</v>
      </c>
      <c r="E8" s="2" t="s">
        <v>115</v>
      </c>
      <c r="F8" s="2" t="s">
        <v>115</v>
      </c>
      <c r="G8" s="2" t="s">
        <v>652</v>
      </c>
      <c r="H8" s="2" t="s">
        <v>885</v>
      </c>
      <c r="I8" s="2" t="s">
        <v>124</v>
      </c>
      <c r="J8" s="2">
        <v>2</v>
      </c>
      <c r="K8" s="9">
        <v>0.64310731095218898</v>
      </c>
      <c r="L8" s="9">
        <v>0.99009011123064627</v>
      </c>
      <c r="M8" s="9">
        <v>0.29303213518951948</v>
      </c>
      <c r="N8" s="4">
        <v>3132</v>
      </c>
      <c r="O8" s="6">
        <f>N8/889618</f>
        <v>3.5206122178283263E-3</v>
      </c>
      <c r="P8" s="4">
        <v>2952</v>
      </c>
      <c r="Q8" s="6">
        <f>P8/806567</f>
        <v>3.6599563334478104E-3</v>
      </c>
      <c r="R8" s="4">
        <v>3132</v>
      </c>
      <c r="S8" s="6">
        <v>3.5206122178283263E-3</v>
      </c>
      <c r="T8" s="2" t="s">
        <v>724</v>
      </c>
      <c r="U8" s="2" t="s">
        <v>722</v>
      </c>
      <c r="V8" s="5">
        <v>180938269.56</v>
      </c>
      <c r="W8" s="5">
        <f>V8</f>
        <v>180938269.56</v>
      </c>
      <c r="X8" s="5">
        <v>180938269.56</v>
      </c>
      <c r="Y8" s="5">
        <f>V8/806566</f>
        <v>224.33163505528375</v>
      </c>
      <c r="Z8" s="5">
        <f>Y8</f>
        <v>224.33163505528375</v>
      </c>
      <c r="AA8" s="5">
        <f>Z8</f>
        <v>224.33163505528375</v>
      </c>
      <c r="AB8" s="6">
        <v>0.2117</v>
      </c>
      <c r="AC8" s="6">
        <v>0.2117</v>
      </c>
      <c r="AD8" s="6">
        <v>0.2117</v>
      </c>
      <c r="AE8" s="2" t="s">
        <v>745</v>
      </c>
      <c r="AF8" s="2">
        <v>20</v>
      </c>
      <c r="AG8" s="2">
        <v>20</v>
      </c>
      <c r="AH8" s="8">
        <f>K8</f>
        <v>0.64310731095218898</v>
      </c>
      <c r="AI8" s="8">
        <f>L8</f>
        <v>0.99009011123064627</v>
      </c>
      <c r="AJ8" s="8">
        <f>M8</f>
        <v>0.29303213518951948</v>
      </c>
      <c r="AK8" s="8">
        <f>AVERAGE(AH8:AJ8)</f>
        <v>0.64207651912411834</v>
      </c>
      <c r="AL8" s="11">
        <f>(O8/12.69)*100</f>
        <v>2.7743201086117626E-2</v>
      </c>
      <c r="AM8" s="11">
        <f>(Q8/9.99)*100</f>
        <v>3.6636199534012114E-2</v>
      </c>
      <c r="AN8" s="11">
        <f>(S8/12.69)*100</f>
        <v>2.7743201086117626E-2</v>
      </c>
      <c r="AO8" s="11">
        <f>AVERAGE(AL8:AN8)</f>
        <v>3.0707533902082456E-2</v>
      </c>
      <c r="AP8" s="10">
        <v>1</v>
      </c>
      <c r="AQ8" s="10">
        <v>1</v>
      </c>
      <c r="AR8" s="10">
        <v>0.75</v>
      </c>
      <c r="AS8" s="10">
        <f>AF8/32</f>
        <v>0.625</v>
      </c>
      <c r="AT8" s="10">
        <f>AG8/28</f>
        <v>0.7142857142857143</v>
      </c>
      <c r="AU8" s="10">
        <f>AVERAGE(AP8:AT8)*2</f>
        <v>1.6357142857142857</v>
      </c>
      <c r="AV8" s="11">
        <f>Y8/776.02</f>
        <v>0.28907970806845668</v>
      </c>
      <c r="AW8" s="11">
        <f>Z8/639.8</f>
        <v>0.35062775094605153</v>
      </c>
      <c r="AX8" s="11">
        <f>AA8/804.19</f>
        <v>0.27895352473331392</v>
      </c>
      <c r="AY8" s="11">
        <f>AB8</f>
        <v>0.2117</v>
      </c>
      <c r="AZ8" s="11">
        <f>AC8</f>
        <v>0.2117</v>
      </c>
      <c r="BA8" s="11">
        <f>AD8</f>
        <v>0.2117</v>
      </c>
      <c r="BB8" s="10">
        <f>AVERAGE(AV8:BA8)*2</f>
        <v>0.51792032791594067</v>
      </c>
      <c r="BC8" s="10">
        <f>AVERAGE(AK8,AO8,AU8,BB8)</f>
        <v>0.70660466666410682</v>
      </c>
    </row>
    <row r="9" spans="1:55" x14ac:dyDescent="0.3">
      <c r="A9" s="2" t="s">
        <v>423</v>
      </c>
      <c r="B9" s="2" t="s">
        <v>113</v>
      </c>
      <c r="C9" s="2" t="s">
        <v>114</v>
      </c>
      <c r="D9" s="2" t="s">
        <v>114</v>
      </c>
      <c r="E9" s="2" t="s">
        <v>815</v>
      </c>
      <c r="F9" s="2" t="s">
        <v>114</v>
      </c>
      <c r="G9" s="2" t="s">
        <v>651</v>
      </c>
      <c r="H9" s="2" t="s">
        <v>886</v>
      </c>
      <c r="I9" s="2" t="s">
        <v>115</v>
      </c>
      <c r="J9" s="2">
        <v>2</v>
      </c>
      <c r="K9" s="9">
        <v>0.4104729617629253</v>
      </c>
      <c r="L9" s="9">
        <v>0.65032889464790156</v>
      </c>
      <c r="M9" s="9">
        <v>0.46731224706559871</v>
      </c>
      <c r="N9" s="4" t="s">
        <v>662</v>
      </c>
      <c r="P9" s="4" t="s">
        <v>662</v>
      </c>
      <c r="T9" s="2" t="s">
        <v>724</v>
      </c>
      <c r="U9" s="2" t="s">
        <v>722</v>
      </c>
      <c r="V9" s="5">
        <v>67259752.390000001</v>
      </c>
      <c r="W9" s="5">
        <v>61720779.920000002</v>
      </c>
      <c r="X9" s="5">
        <v>110106337.33</v>
      </c>
      <c r="Y9" s="5">
        <f>V9/355331</f>
        <v>189.28760054709554</v>
      </c>
      <c r="Z9" s="5">
        <f>W9/355331</f>
        <v>173.69939554950173</v>
      </c>
      <c r="AA9" s="5">
        <f>X9/355331</f>
        <v>309.8697758709485</v>
      </c>
      <c r="AB9" s="6">
        <v>8.3000000000000004E-2</v>
      </c>
      <c r="AC9" s="6">
        <v>0.10630000000000001</v>
      </c>
      <c r="AD9" s="6">
        <v>0.22500000000000001</v>
      </c>
      <c r="AE9" s="2" t="s">
        <v>784</v>
      </c>
      <c r="AF9" s="2">
        <v>24</v>
      </c>
      <c r="AG9" s="2">
        <v>16</v>
      </c>
      <c r="AH9" s="8">
        <f>K9</f>
        <v>0.4104729617629253</v>
      </c>
      <c r="AI9" s="8">
        <f>L9</f>
        <v>0.65032889464790156</v>
      </c>
      <c r="AJ9" s="8">
        <f>M9</f>
        <v>0.46731224706559871</v>
      </c>
      <c r="AK9" s="8">
        <f>AVERAGE(AH9:AJ9)</f>
        <v>0.50937136782547521</v>
      </c>
      <c r="AP9" s="10">
        <v>1</v>
      </c>
      <c r="AQ9" s="10">
        <v>1</v>
      </c>
      <c r="AR9" s="10">
        <v>0.75</v>
      </c>
      <c r="AS9" s="10">
        <f>AF9/32</f>
        <v>0.75</v>
      </c>
      <c r="AT9" s="10">
        <f>AG9/28</f>
        <v>0.5714285714285714</v>
      </c>
      <c r="AU9" s="10">
        <f>AVERAGE(AP9:AT9)*2</f>
        <v>1.6285714285714286</v>
      </c>
      <c r="AV9" s="11">
        <f>Y9/776.02</f>
        <v>0.24392103366806983</v>
      </c>
      <c r="AW9" s="11">
        <f>Z9/639.8</f>
        <v>0.27149014621678924</v>
      </c>
      <c r="AX9" s="11">
        <f>AA9/804.19</f>
        <v>0.38531911099485006</v>
      </c>
      <c r="AY9" s="11">
        <f>AB9</f>
        <v>8.3000000000000004E-2</v>
      </c>
      <c r="AZ9" s="11">
        <f>AC9</f>
        <v>0.10630000000000001</v>
      </c>
      <c r="BA9" s="11">
        <f>AD9</f>
        <v>0.22500000000000001</v>
      </c>
      <c r="BB9" s="10">
        <f>AVERAGE(AV9:BA9)*2</f>
        <v>0.43834343029323636</v>
      </c>
      <c r="BC9" s="10">
        <f>AVERAGE(AK9,AO9,AU9,BB9)</f>
        <v>0.85876207556338002</v>
      </c>
    </row>
    <row r="10" spans="1:55" x14ac:dyDescent="0.3">
      <c r="A10" s="2">
        <v>3106200</v>
      </c>
      <c r="B10" s="2" t="s">
        <v>70</v>
      </c>
      <c r="C10" s="2" t="s">
        <v>74</v>
      </c>
      <c r="D10" s="2" t="s">
        <v>74</v>
      </c>
      <c r="E10" s="3" t="s">
        <v>74</v>
      </c>
      <c r="F10" s="3" t="s">
        <v>74</v>
      </c>
      <c r="G10" s="2" t="s">
        <v>653</v>
      </c>
      <c r="H10" s="2" t="s">
        <v>887</v>
      </c>
      <c r="I10" s="2" t="s">
        <v>74</v>
      </c>
      <c r="J10" s="2">
        <v>1</v>
      </c>
      <c r="K10" s="9">
        <v>0.72762639388061712</v>
      </c>
      <c r="L10" s="9">
        <v>1</v>
      </c>
      <c r="M10" s="9">
        <v>0.53617459375896626</v>
      </c>
      <c r="N10" s="4">
        <v>22946</v>
      </c>
      <c r="O10" s="6">
        <f>N10/2375151</f>
        <v>9.6608594569355805E-3</v>
      </c>
      <c r="P10" s="4">
        <v>41732</v>
      </c>
      <c r="Q10" s="6">
        <f>P10/2211280</f>
        <v>1.887232733982128E-2</v>
      </c>
      <c r="R10" s="4">
        <v>172938</v>
      </c>
      <c r="S10" s="6">
        <f>R10/2306839</f>
        <v>7.4967520490159908E-2</v>
      </c>
      <c r="T10" s="2" t="s">
        <v>724</v>
      </c>
      <c r="U10" s="2" t="s">
        <v>722</v>
      </c>
      <c r="V10" s="5">
        <v>73000000</v>
      </c>
      <c r="W10" s="5">
        <v>224025261.30000001</v>
      </c>
      <c r="X10" s="5">
        <v>383348288.67000002</v>
      </c>
      <c r="Y10" s="5">
        <f>V10/2392678</f>
        <v>30.50974681925441</v>
      </c>
      <c r="Z10" s="5">
        <f>W10/2256629</f>
        <v>99.274298655206508</v>
      </c>
      <c r="AA10" s="5">
        <f>X10/2238526</f>
        <v>171.25031769566223</v>
      </c>
      <c r="AB10" s="6">
        <v>4.41E-2</v>
      </c>
      <c r="AC10" s="6">
        <v>8.7999999999999995E-2</v>
      </c>
      <c r="AD10" s="6">
        <v>0.5</v>
      </c>
      <c r="AE10" s="2" t="s">
        <v>765</v>
      </c>
      <c r="AF10" s="2">
        <v>18</v>
      </c>
      <c r="AG10" s="2">
        <v>14</v>
      </c>
      <c r="AH10" s="8">
        <f>K10</f>
        <v>0.72762639388061712</v>
      </c>
      <c r="AI10" s="8">
        <f>L10</f>
        <v>1</v>
      </c>
      <c r="AJ10" s="8">
        <f>M10</f>
        <v>0.53617459375896626</v>
      </c>
      <c r="AK10" s="8">
        <f>AVERAGE(AH10:AJ10)</f>
        <v>0.75460032921319442</v>
      </c>
      <c r="AL10" s="11">
        <f>(O10/12.69)*100</f>
        <v>7.6129704152368652E-2</v>
      </c>
      <c r="AM10" s="11">
        <f>(Q10/9.99)*100</f>
        <v>0.1889121855837966</v>
      </c>
      <c r="AN10" s="11">
        <f>(S10/12.69)*100</f>
        <v>0.59076060275933739</v>
      </c>
      <c r="AO10" s="11">
        <f>AVERAGE(AL10:AN10)</f>
        <v>0.28526749749850089</v>
      </c>
      <c r="AP10" s="10">
        <v>1</v>
      </c>
      <c r="AQ10" s="10">
        <v>1</v>
      </c>
      <c r="AR10" s="10">
        <v>1</v>
      </c>
      <c r="AS10" s="10">
        <f>AF10/32</f>
        <v>0.5625</v>
      </c>
      <c r="AT10" s="10">
        <f>AG10/28</f>
        <v>0.5</v>
      </c>
      <c r="AU10" s="10">
        <f>AVERAGE(AP10:AT10)*2</f>
        <v>1.625</v>
      </c>
      <c r="AV10" s="11">
        <f>Y10/776.02</f>
        <v>3.9315670754947567E-2</v>
      </c>
      <c r="AW10" s="11">
        <f>Z10/639.8</f>
        <v>0.1551645805801915</v>
      </c>
      <c r="AX10" s="11">
        <f>AA10/804.19</f>
        <v>0.2129475841476047</v>
      </c>
      <c r="AY10" s="11">
        <f>AB10</f>
        <v>4.41E-2</v>
      </c>
      <c r="AZ10" s="11">
        <f>AC10</f>
        <v>8.7999999999999995E-2</v>
      </c>
      <c r="BA10" s="11">
        <f>AD10</f>
        <v>0.5</v>
      </c>
      <c r="BB10" s="10">
        <f>AVERAGE(AV10:BA10)*2</f>
        <v>0.3465092784942479</v>
      </c>
      <c r="BC10" s="10">
        <f>AVERAGE(AK10,AO10,AU10,BB10)</f>
        <v>0.75284427630148576</v>
      </c>
    </row>
    <row r="11" spans="1:55" x14ac:dyDescent="0.3">
      <c r="A11" s="2" t="s">
        <v>356</v>
      </c>
      <c r="B11" s="2" t="s">
        <v>52</v>
      </c>
      <c r="C11" s="2" t="s">
        <v>57</v>
      </c>
      <c r="D11" s="2" t="s">
        <v>57</v>
      </c>
      <c r="E11" s="3" t="s">
        <v>57</v>
      </c>
      <c r="F11" s="3" t="s">
        <v>57</v>
      </c>
      <c r="G11" s="2" t="s">
        <v>653</v>
      </c>
      <c r="H11" s="2" t="s">
        <v>887</v>
      </c>
      <c r="I11" s="2" t="s">
        <v>57</v>
      </c>
      <c r="J11" s="2">
        <v>1</v>
      </c>
      <c r="K11" s="9">
        <v>0.76174012464912066</v>
      </c>
      <c r="L11" s="9">
        <v>1</v>
      </c>
      <c r="M11" s="9">
        <v>0.41299590631471123</v>
      </c>
      <c r="N11" s="4">
        <v>34</v>
      </c>
      <c r="O11" s="6">
        <f>N11/331785</f>
        <v>1.0247600102476002E-4</v>
      </c>
      <c r="P11" s="4">
        <v>2529</v>
      </c>
      <c r="Q11" s="6">
        <f>P11/294289</f>
        <v>8.593593372501181E-3</v>
      </c>
      <c r="R11" s="4">
        <v>4248</v>
      </c>
      <c r="S11" s="6">
        <f>R11/292304</f>
        <v>1.453281515134928E-2</v>
      </c>
      <c r="T11" s="2" t="s">
        <v>723</v>
      </c>
      <c r="U11" s="2" t="s">
        <v>722</v>
      </c>
      <c r="V11" s="5">
        <v>120959456</v>
      </c>
      <c r="W11" s="5">
        <v>115221170.04000001</v>
      </c>
      <c r="X11" s="5">
        <v>249341932.5</v>
      </c>
      <c r="Y11" s="5">
        <f>V11/292304</f>
        <v>413.81389238600906</v>
      </c>
      <c r="Z11" s="5">
        <f>W11/292304</f>
        <v>394.18266612841427</v>
      </c>
      <c r="AA11" s="5">
        <f>X11/310053</f>
        <v>804.19132374142487</v>
      </c>
      <c r="AB11" s="6">
        <v>0.64749999999999996</v>
      </c>
      <c r="AC11" s="6">
        <v>0.51229999999999998</v>
      </c>
      <c r="AD11" s="6">
        <v>0.73909999999999998</v>
      </c>
      <c r="AE11" s="2" t="s">
        <v>859</v>
      </c>
      <c r="AF11" s="2">
        <v>30</v>
      </c>
      <c r="AG11" s="2">
        <v>24</v>
      </c>
      <c r="AH11" s="8">
        <f>K11</f>
        <v>0.76174012464912066</v>
      </c>
      <c r="AI11" s="8">
        <f>L11</f>
        <v>1</v>
      </c>
      <c r="AJ11" s="8">
        <f>M11</f>
        <v>0.41299590631471123</v>
      </c>
      <c r="AK11" s="8">
        <f>AVERAGE(AH11:AJ11)</f>
        <v>0.72491201032127728</v>
      </c>
      <c r="AL11" s="11">
        <f>(O11/12.69)*100</f>
        <v>8.0753349901308133E-4</v>
      </c>
      <c r="AM11" s="11">
        <f>(Q11/9.99)*100</f>
        <v>8.60219556806925E-2</v>
      </c>
      <c r="AN11" s="11">
        <f>(S11/12.69)*100</f>
        <v>0.11452179000275241</v>
      </c>
      <c r="AO11" s="11">
        <f>AVERAGE(AL11:AN11)</f>
        <v>6.7117093060819324E-2</v>
      </c>
      <c r="AP11" s="10">
        <v>0.25</v>
      </c>
      <c r="AQ11" s="10">
        <v>1</v>
      </c>
      <c r="AR11" s="10">
        <v>1</v>
      </c>
      <c r="AS11" s="10">
        <f>AF11/32</f>
        <v>0.9375</v>
      </c>
      <c r="AT11" s="10">
        <f>AG11/28</f>
        <v>0.8571428571428571</v>
      </c>
      <c r="AU11" s="10">
        <f>AVERAGE(AP11:AT11)*2</f>
        <v>1.6178571428571427</v>
      </c>
      <c r="AV11" s="11">
        <f>Y11/776.02</f>
        <v>0.5332515816422374</v>
      </c>
      <c r="AW11" s="11">
        <f>Z11/639.8</f>
        <v>0.61610294799689636</v>
      </c>
      <c r="AX11" s="11">
        <f>AA11/804.19</f>
        <v>1.000001646055565</v>
      </c>
      <c r="AY11" s="11">
        <f>AB11</f>
        <v>0.64749999999999996</v>
      </c>
      <c r="AZ11" s="11">
        <f>AC11</f>
        <v>0.51229999999999998</v>
      </c>
      <c r="BA11" s="11">
        <f>AD11</f>
        <v>0.73909999999999998</v>
      </c>
      <c r="BB11" s="10">
        <f>AVERAGE(AV11:BA11)*2</f>
        <v>1.3494187252315661</v>
      </c>
      <c r="BC11" s="10">
        <f>AVERAGE(AK11,AO11,AU11,BB11)</f>
        <v>0.93982624286770133</v>
      </c>
    </row>
    <row r="12" spans="1:55" x14ac:dyDescent="0.3">
      <c r="A12" s="2" t="s">
        <v>440</v>
      </c>
      <c r="B12" s="2" t="s">
        <v>126</v>
      </c>
      <c r="C12" s="2" t="s">
        <v>130</v>
      </c>
      <c r="D12" s="2" t="s">
        <v>130</v>
      </c>
      <c r="E12" s="2" t="s">
        <v>130</v>
      </c>
      <c r="F12" s="2" t="s">
        <v>130</v>
      </c>
      <c r="G12" s="2" t="s">
        <v>652</v>
      </c>
      <c r="H12" s="2" t="s">
        <v>885</v>
      </c>
      <c r="I12" s="2" t="s">
        <v>44</v>
      </c>
      <c r="J12" s="2">
        <v>2</v>
      </c>
      <c r="K12" s="9">
        <v>0.59918290748544778</v>
      </c>
      <c r="L12" s="9">
        <v>0.96141405529278989</v>
      </c>
      <c r="M12" s="9">
        <v>0.57549638883769549</v>
      </c>
      <c r="N12" s="4">
        <v>16641</v>
      </c>
      <c r="O12" s="6">
        <f>N12/841377</f>
        <v>1.9778292014162497E-2</v>
      </c>
      <c r="P12" s="4">
        <v>14316</v>
      </c>
      <c r="Q12" s="6">
        <f>P12/799371</f>
        <v>1.7909081014948001E-2</v>
      </c>
      <c r="R12" s="4">
        <v>21960</v>
      </c>
      <c r="S12" s="6">
        <f>R12/715360</f>
        <v>3.0697830462983671E-2</v>
      </c>
      <c r="T12" s="2" t="s">
        <v>724</v>
      </c>
      <c r="U12" s="2" t="s">
        <v>722</v>
      </c>
      <c r="V12" s="5">
        <v>35000000</v>
      </c>
      <c r="W12" s="5">
        <v>40467913</v>
      </c>
      <c r="X12" s="5">
        <v>75448899</v>
      </c>
      <c r="Y12" s="5">
        <f>V12/868523</f>
        <v>40.298299526897964</v>
      </c>
      <c r="Z12" s="5">
        <f>W12/799371</f>
        <v>50.624694916378004</v>
      </c>
      <c r="AA12" s="5">
        <f>X12/715360</f>
        <v>105.46983197271304</v>
      </c>
      <c r="AB12" s="6">
        <v>0.22</v>
      </c>
      <c r="AC12" s="6">
        <v>0.22</v>
      </c>
      <c r="AD12" s="6">
        <v>0.22</v>
      </c>
      <c r="AE12" s="2" t="s">
        <v>862</v>
      </c>
      <c r="AF12" s="2">
        <v>20</v>
      </c>
      <c r="AG12" s="2">
        <v>8</v>
      </c>
      <c r="AH12" s="8">
        <f>K12</f>
        <v>0.59918290748544778</v>
      </c>
      <c r="AI12" s="8">
        <f>L12</f>
        <v>0.96141405529278989</v>
      </c>
      <c r="AJ12" s="8">
        <f>M12</f>
        <v>0.57549638883769549</v>
      </c>
      <c r="AK12" s="8">
        <f>AVERAGE(AH12:AJ12)</f>
        <v>0.71203111720531098</v>
      </c>
      <c r="AL12" s="11">
        <f>(O12/12.69)*100</f>
        <v>0.15585730507614259</v>
      </c>
      <c r="AM12" s="11">
        <f>(Q12/9.99)*100</f>
        <v>0.17927008022970972</v>
      </c>
      <c r="AN12" s="11">
        <f>(S12/12.69)*100</f>
        <v>0.24190567740727872</v>
      </c>
      <c r="AO12" s="11">
        <f>AVERAGE(AL12:AN12)</f>
        <v>0.19234435423771035</v>
      </c>
      <c r="AP12" s="10">
        <v>1</v>
      </c>
      <c r="AQ12" s="10">
        <v>1</v>
      </c>
      <c r="AR12" s="10">
        <v>1</v>
      </c>
      <c r="AS12" s="10">
        <f>AF12/32</f>
        <v>0.625</v>
      </c>
      <c r="AT12" s="10">
        <f>AG12/28</f>
        <v>0.2857142857142857</v>
      </c>
      <c r="AU12" s="10">
        <f>AVERAGE(AP12:AT12)*2</f>
        <v>1.5642857142857143</v>
      </c>
      <c r="AV12" s="11">
        <f>Y12/776.02</f>
        <v>5.1929459971261006E-2</v>
      </c>
      <c r="AW12" s="11">
        <f>Z12/639.8</f>
        <v>7.9125812623285413E-2</v>
      </c>
      <c r="AX12" s="11">
        <f>AA12/804.19</f>
        <v>0.13115038979931737</v>
      </c>
      <c r="AY12" s="11">
        <f>AB12</f>
        <v>0.22</v>
      </c>
      <c r="AZ12" s="11">
        <f>AC12</f>
        <v>0.22</v>
      </c>
      <c r="BA12" s="11">
        <f>AD12</f>
        <v>0.22</v>
      </c>
      <c r="BB12" s="10">
        <f>AVERAGE(AV12:BA12)*2</f>
        <v>0.30740188746462122</v>
      </c>
      <c r="BC12" s="10">
        <f>AVERAGE(AK12,AO12,AU12,BB12)</f>
        <v>0.69401576829833922</v>
      </c>
    </row>
    <row r="13" spans="1:55" x14ac:dyDescent="0.3">
      <c r="A13" s="2" t="s">
        <v>554</v>
      </c>
      <c r="B13" s="2" t="s">
        <v>201</v>
      </c>
      <c r="C13" s="2" t="s">
        <v>215</v>
      </c>
      <c r="D13" s="2" t="s">
        <v>215</v>
      </c>
      <c r="E13" s="2" t="s">
        <v>215</v>
      </c>
      <c r="F13" s="2" t="s">
        <v>215</v>
      </c>
      <c r="G13" s="2" t="s">
        <v>653</v>
      </c>
      <c r="H13" s="2" t="s">
        <v>887</v>
      </c>
      <c r="I13" s="2" t="s">
        <v>215</v>
      </c>
      <c r="J13" s="2">
        <v>2</v>
      </c>
      <c r="K13" s="9">
        <v>0.55133901929295337</v>
      </c>
      <c r="L13" s="9">
        <v>1</v>
      </c>
      <c r="M13" s="9">
        <v>0.29026790983986928</v>
      </c>
      <c r="N13" s="4">
        <v>1241</v>
      </c>
      <c r="O13" s="6">
        <f>N13/1170247</f>
        <v>1.0604598858189767E-3</v>
      </c>
      <c r="P13" s="4">
        <v>15477</v>
      </c>
      <c r="Q13" s="6">
        <f>P13/1125180</f>
        <v>1.3755132512131393E-2</v>
      </c>
      <c r="R13" s="4">
        <v>31380</v>
      </c>
      <c r="S13" s="6">
        <f>R13/969396</f>
        <v>3.2370672047336693E-2</v>
      </c>
      <c r="T13" s="2" t="s">
        <v>721</v>
      </c>
      <c r="U13" s="2" t="s">
        <v>722</v>
      </c>
      <c r="V13" s="5">
        <v>752272930</v>
      </c>
      <c r="W13" s="5">
        <v>375360901.77999997</v>
      </c>
      <c r="X13" s="5">
        <v>752272930</v>
      </c>
      <c r="Y13" s="5">
        <f>V13/969396</f>
        <v>776.02231698913545</v>
      </c>
      <c r="Z13" s="5">
        <f>W13/969396</f>
        <v>387.21111060908027</v>
      </c>
      <c r="AA13" s="5">
        <f>X13/969396</f>
        <v>776.02231698913545</v>
      </c>
      <c r="AB13" s="6">
        <v>1</v>
      </c>
      <c r="AC13" s="6">
        <v>1</v>
      </c>
      <c r="AD13" s="6">
        <v>1</v>
      </c>
      <c r="AE13" s="2" t="s">
        <v>698</v>
      </c>
      <c r="AF13" s="2">
        <v>20</v>
      </c>
      <c r="AG13" s="2">
        <v>20</v>
      </c>
      <c r="AH13" s="8">
        <f>K13</f>
        <v>0.55133901929295337</v>
      </c>
      <c r="AI13" s="8">
        <f>L13</f>
        <v>1</v>
      </c>
      <c r="AJ13" s="8">
        <f>M13</f>
        <v>0.29026790983986928</v>
      </c>
      <c r="AK13" s="8">
        <f>AVERAGE(AH13:AJ13)</f>
        <v>0.61386897637760762</v>
      </c>
      <c r="AL13" s="11">
        <f>(O13/12.69)*100</f>
        <v>8.3566578866743641E-3</v>
      </c>
      <c r="AM13" s="11">
        <f>(Q13/9.99)*100</f>
        <v>0.13768901413544937</v>
      </c>
      <c r="AN13" s="11">
        <f>(S13/12.69)*100</f>
        <v>0.25508803819808268</v>
      </c>
      <c r="AO13" s="11">
        <f>AVERAGE(AL13:AN13)</f>
        <v>0.1337112367400688</v>
      </c>
      <c r="AP13" s="10">
        <v>0.75</v>
      </c>
      <c r="AQ13" s="10">
        <v>1</v>
      </c>
      <c r="AR13" s="10">
        <v>0.75</v>
      </c>
      <c r="AS13" s="10">
        <f>AF13/32</f>
        <v>0.625</v>
      </c>
      <c r="AT13" s="10">
        <f>AG13/28</f>
        <v>0.7142857142857143</v>
      </c>
      <c r="AU13" s="10">
        <f>AVERAGE(AP13:AT13)*2</f>
        <v>1.5357142857142858</v>
      </c>
      <c r="AV13" s="11">
        <f>Y13/776.02</f>
        <v>1.0000029857337898</v>
      </c>
      <c r="AW13" s="11">
        <f>Z13/639.8</f>
        <v>0.60520648735398608</v>
      </c>
      <c r="AX13" s="11">
        <f>AA13/804.19</f>
        <v>0.96497384571946354</v>
      </c>
      <c r="AY13" s="11">
        <f>AB13</f>
        <v>1</v>
      </c>
      <c r="AZ13" s="11">
        <f>AC13</f>
        <v>1</v>
      </c>
      <c r="BA13" s="11">
        <f>AD13</f>
        <v>1</v>
      </c>
      <c r="BB13" s="10">
        <f>AVERAGE(AV13:BA13)*2</f>
        <v>1.8567277729357465</v>
      </c>
      <c r="BC13" s="10">
        <f>AVERAGE(AK13,AO13,AU13,BB13)</f>
        <v>1.0350055679419272</v>
      </c>
    </row>
    <row r="14" spans="1:55" x14ac:dyDescent="0.3">
      <c r="A14" s="2" t="s">
        <v>562</v>
      </c>
      <c r="B14" s="2" t="s">
        <v>201</v>
      </c>
      <c r="C14" s="2" t="s">
        <v>249</v>
      </c>
      <c r="D14" s="2" t="s">
        <v>249</v>
      </c>
      <c r="E14" s="2" t="s">
        <v>825</v>
      </c>
      <c r="F14" s="2" t="s">
        <v>665</v>
      </c>
      <c r="G14" s="2" t="s">
        <v>657</v>
      </c>
      <c r="H14" s="2" t="s">
        <v>884</v>
      </c>
      <c r="I14" s="2" t="s">
        <v>249</v>
      </c>
      <c r="J14" s="2">
        <v>1</v>
      </c>
      <c r="K14" s="9">
        <v>0.51531959564145746</v>
      </c>
      <c r="L14" s="9">
        <v>0.88431121734724161</v>
      </c>
      <c r="M14" s="9">
        <v>0.24534522128923311</v>
      </c>
      <c r="N14" s="4">
        <v>6000</v>
      </c>
      <c r="O14" s="6">
        <f>N14/277249</f>
        <v>2.1641196181050246E-2</v>
      </c>
      <c r="P14" s="4">
        <v>2214</v>
      </c>
      <c r="Q14" s="6">
        <f>P14/258740</f>
        <v>8.5568524387415936E-3</v>
      </c>
      <c r="R14" s="4">
        <v>6000</v>
      </c>
      <c r="S14" s="6">
        <v>2.1641196181050246E-2</v>
      </c>
      <c r="T14" s="2" t="s">
        <v>724</v>
      </c>
      <c r="U14" s="2" t="s">
        <v>722</v>
      </c>
      <c r="V14" s="5">
        <v>35020496.43</v>
      </c>
      <c r="W14" s="5">
        <v>35020496.43</v>
      </c>
      <c r="X14" s="5">
        <v>35020496.43</v>
      </c>
      <c r="Y14" s="5">
        <f>V14/240230</f>
        <v>145.77903022103817</v>
      </c>
      <c r="Z14" s="5">
        <f>W14/240230</f>
        <v>145.77903022103817</v>
      </c>
      <c r="AA14" s="5">
        <f>X14/240230</f>
        <v>145.77903022103817</v>
      </c>
      <c r="AE14" s="2" t="s">
        <v>863</v>
      </c>
      <c r="AF14" s="2">
        <v>14</v>
      </c>
      <c r="AG14" s="2">
        <v>12</v>
      </c>
      <c r="AH14" s="8">
        <f>K14</f>
        <v>0.51531959564145746</v>
      </c>
      <c r="AI14" s="8">
        <f>L14</f>
        <v>0.88431121734724161</v>
      </c>
      <c r="AJ14" s="8">
        <f>M14</f>
        <v>0.24534522128923311</v>
      </c>
      <c r="AK14" s="8">
        <f>AVERAGE(AH14:AJ14)</f>
        <v>0.54832534475931072</v>
      </c>
      <c r="AL14" s="11">
        <f>(O14/12.69)*100</f>
        <v>0.17053740095390263</v>
      </c>
      <c r="AM14" s="11">
        <f>(Q14/9.99)*100</f>
        <v>8.5654178565981912E-2</v>
      </c>
      <c r="AN14" s="11">
        <f>(S14/12.69)*100</f>
        <v>0.17053740095390263</v>
      </c>
      <c r="AO14" s="11">
        <f>AVERAGE(AL14:AN14)</f>
        <v>0.14224299349126238</v>
      </c>
      <c r="AP14" s="10">
        <v>1</v>
      </c>
      <c r="AQ14" s="10">
        <v>1</v>
      </c>
      <c r="AR14" s="10">
        <v>0.75</v>
      </c>
      <c r="AS14" s="10">
        <f>AF14/32</f>
        <v>0.4375</v>
      </c>
      <c r="AT14" s="10">
        <f>AG14/28</f>
        <v>0.42857142857142855</v>
      </c>
      <c r="AU14" s="10">
        <f>AVERAGE(AP14:AT14)*2</f>
        <v>1.4464285714285714</v>
      </c>
      <c r="AV14" s="11">
        <f>Y14/776.02</f>
        <v>0.18785473341027056</v>
      </c>
      <c r="AW14" s="11">
        <f>Z14/639.8</f>
        <v>0.22785093813854046</v>
      </c>
      <c r="AX14" s="11">
        <f>AA14/804.19</f>
        <v>0.1812743632985217</v>
      </c>
      <c r="AY14" s="11"/>
    </row>
    <row r="15" spans="1:55" x14ac:dyDescent="0.3">
      <c r="A15" s="2" t="s">
        <v>509</v>
      </c>
      <c r="B15" s="2" t="s">
        <v>167</v>
      </c>
      <c r="C15" s="2" t="s">
        <v>179</v>
      </c>
      <c r="D15" s="2" t="s">
        <v>643</v>
      </c>
      <c r="E15" s="2" t="s">
        <v>824</v>
      </c>
      <c r="F15" s="2" t="s">
        <v>179</v>
      </c>
      <c r="G15" s="2" t="s">
        <v>653</v>
      </c>
      <c r="H15" s="2" t="s">
        <v>884</v>
      </c>
      <c r="I15" s="2" t="s">
        <v>179</v>
      </c>
      <c r="J15" s="2">
        <v>1</v>
      </c>
      <c r="K15" s="9">
        <v>0.54325867714997766</v>
      </c>
      <c r="L15" s="9">
        <v>1</v>
      </c>
      <c r="M15" s="9">
        <v>0.38187799927483812</v>
      </c>
      <c r="N15" s="4">
        <v>1600</v>
      </c>
      <c r="O15" s="6">
        <f>N15/216964</f>
        <v>7.3744953079773606E-3</v>
      </c>
      <c r="P15" s="4">
        <v>3036</v>
      </c>
      <c r="Q15" s="6">
        <f>P15/215526</f>
        <v>1.4086467525959745E-2</v>
      </c>
      <c r="R15" s="4">
        <v>6791</v>
      </c>
      <c r="S15" s="6">
        <f>R15/214087</f>
        <v>3.1720749041277613E-2</v>
      </c>
      <c r="T15" s="2" t="s">
        <v>724</v>
      </c>
      <c r="U15" s="2" t="s">
        <v>722</v>
      </c>
      <c r="V15" s="5">
        <v>30000000</v>
      </c>
      <c r="W15" s="5">
        <v>61491401.710000001</v>
      </c>
      <c r="X15" s="5">
        <v>87234864.920000002</v>
      </c>
      <c r="Y15" s="5">
        <f>V15/216964</f>
        <v>138.2717870245755</v>
      </c>
      <c r="Z15" s="5">
        <f>W15/215526</f>
        <v>285.30850899659436</v>
      </c>
      <c r="AA15" s="5">
        <f>X15/203817</f>
        <v>428.00583327200383</v>
      </c>
      <c r="AB15" s="6">
        <v>0.1762</v>
      </c>
      <c r="AC15" s="6">
        <f>AB15</f>
        <v>0.1762</v>
      </c>
      <c r="AD15" s="6">
        <f>AC15</f>
        <v>0.1762</v>
      </c>
      <c r="AE15" s="2" t="s">
        <v>745</v>
      </c>
      <c r="AF15" s="2">
        <v>20</v>
      </c>
      <c r="AG15" s="2">
        <v>20</v>
      </c>
      <c r="AH15" s="8">
        <f>K15</f>
        <v>0.54325867714997766</v>
      </c>
      <c r="AI15" s="8">
        <f>L15</f>
        <v>1</v>
      </c>
      <c r="AJ15" s="8">
        <f>M15</f>
        <v>0.38187799927483812</v>
      </c>
      <c r="AK15" s="8">
        <f>AVERAGE(AH15:AJ15)</f>
        <v>0.64171222547493867</v>
      </c>
      <c r="AL15" s="11">
        <f>(O15/12.69)*100</f>
        <v>5.8112650181066677E-2</v>
      </c>
      <c r="AM15" s="11">
        <f>(Q15/9.99)*100</f>
        <v>0.14100568094053798</v>
      </c>
      <c r="AN15" s="11">
        <f>(S15/12.69)*100</f>
        <v>0.24996650150730981</v>
      </c>
      <c r="AO15" s="11">
        <f>AVERAGE(AL15:AN15)</f>
        <v>0.14969494420963816</v>
      </c>
      <c r="AP15" s="10">
        <v>1</v>
      </c>
      <c r="AQ15" s="10">
        <v>1</v>
      </c>
      <c r="AR15" s="10">
        <v>0.25</v>
      </c>
      <c r="AS15" s="10">
        <f>AF15/32</f>
        <v>0.625</v>
      </c>
      <c r="AT15" s="10">
        <f>AG15/28</f>
        <v>0.7142857142857143</v>
      </c>
      <c r="AU15" s="10">
        <f>AVERAGE(AP15:AT15)*2</f>
        <v>1.4357142857142857</v>
      </c>
      <c r="AV15" s="11">
        <f>Y15/776.02</f>
        <v>0.17818070027135319</v>
      </c>
      <c r="AW15" s="11">
        <f>Z15/639.8</f>
        <v>0.44593389965081959</v>
      </c>
      <c r="AX15" s="11">
        <f>AA15/804.19</f>
        <v>0.53221979043758783</v>
      </c>
      <c r="AY15" s="11">
        <f>AB15</f>
        <v>0.1762</v>
      </c>
      <c r="AZ15" s="11">
        <f>AC15</f>
        <v>0.1762</v>
      </c>
      <c r="BA15" s="11">
        <f>AD15</f>
        <v>0.1762</v>
      </c>
      <c r="BB15" s="10">
        <f>AVERAGE(AV15:BA15)*2</f>
        <v>0.56164479678658685</v>
      </c>
      <c r="BC15" s="10">
        <f>AVERAGE(AK15,AO15,AU15,BB15)</f>
        <v>0.69719156304636232</v>
      </c>
    </row>
    <row r="16" spans="1:55" x14ac:dyDescent="0.3">
      <c r="A16" s="2" t="s">
        <v>346</v>
      </c>
      <c r="B16" s="2" t="s">
        <v>52</v>
      </c>
      <c r="C16" s="2" t="s">
        <v>56</v>
      </c>
      <c r="D16" s="2" t="s">
        <v>55</v>
      </c>
      <c r="E16" s="3" t="s">
        <v>822</v>
      </c>
      <c r="F16" s="3" t="s">
        <v>662</v>
      </c>
      <c r="G16" s="2" t="s">
        <v>655</v>
      </c>
      <c r="H16" s="2" t="s">
        <v>888</v>
      </c>
      <c r="I16" s="2" t="s">
        <v>57</v>
      </c>
      <c r="J16" s="2">
        <v>3</v>
      </c>
      <c r="K16" s="9">
        <v>0.78302808531762502</v>
      </c>
      <c r="L16" s="9">
        <v>1</v>
      </c>
      <c r="M16" s="9">
        <v>0.3940934501194242</v>
      </c>
      <c r="N16" s="4">
        <v>53</v>
      </c>
      <c r="O16" s="6">
        <f>N16/99336</f>
        <v>5.3354272368527015E-4</v>
      </c>
      <c r="P16" s="4">
        <f>(87+53)/2</f>
        <v>70</v>
      </c>
      <c r="Q16" s="6">
        <f>P16/99336</f>
        <v>7.0467906901828137E-4</v>
      </c>
      <c r="R16" s="4">
        <v>87</v>
      </c>
      <c r="S16" s="6">
        <f>R16/99336</f>
        <v>8.7581541435129259E-4</v>
      </c>
      <c r="T16" s="2" t="s">
        <v>724</v>
      </c>
      <c r="U16" s="2" t="s">
        <v>722</v>
      </c>
      <c r="V16" s="5">
        <v>12532568.51</v>
      </c>
      <c r="W16" s="5">
        <f>(V16+7591212)/2</f>
        <v>10061890.254999999</v>
      </c>
      <c r="X16" s="5">
        <v>12532568.51</v>
      </c>
      <c r="Y16" s="5">
        <f>V16/99336</f>
        <v>126.16341014335185</v>
      </c>
      <c r="Z16" s="5">
        <f>W16/99936</f>
        <v>100.68333988752801</v>
      </c>
      <c r="AA16" s="5">
        <f>X16/99336</f>
        <v>126.16341014335185</v>
      </c>
      <c r="AB16" s="6">
        <v>0.115</v>
      </c>
      <c r="AC16" s="6">
        <v>0.1075</v>
      </c>
      <c r="AD16" s="6">
        <v>0.115</v>
      </c>
      <c r="AE16" s="2" t="s">
        <v>740</v>
      </c>
      <c r="AF16" s="2">
        <v>12</v>
      </c>
      <c r="AG16" s="2">
        <v>12</v>
      </c>
      <c r="AH16" s="8">
        <f>K16</f>
        <v>0.78302808531762502</v>
      </c>
      <c r="AI16" s="8">
        <f>L16</f>
        <v>1</v>
      </c>
      <c r="AJ16" s="8">
        <f>M16</f>
        <v>0.3940934501194242</v>
      </c>
      <c r="AK16" s="8">
        <f>AVERAGE(AH16:AJ16)</f>
        <v>0.72570717847901633</v>
      </c>
      <c r="AL16" s="11">
        <f>(O16/12.69)*100</f>
        <v>4.204434386802759E-3</v>
      </c>
      <c r="AM16" s="11">
        <f>(Q16/9.99)*100</f>
        <v>7.0538445347175308E-3</v>
      </c>
      <c r="AN16" s="11">
        <f>(S16/12.69)*100</f>
        <v>6.9016187104120772E-3</v>
      </c>
      <c r="AO16" s="11">
        <f>AVERAGE(AL16:AN16)</f>
        <v>6.0532992106441226E-3</v>
      </c>
      <c r="AP16" s="10">
        <v>1</v>
      </c>
      <c r="AQ16" s="10">
        <v>1</v>
      </c>
      <c r="AR16" s="10">
        <v>0.75</v>
      </c>
      <c r="AS16" s="10">
        <f>AF16/32</f>
        <v>0.375</v>
      </c>
      <c r="AT16" s="10">
        <f>AG16/28</f>
        <v>0.42857142857142855</v>
      </c>
      <c r="AU16" s="10">
        <f>AVERAGE(AP16:AT16)*2</f>
        <v>1.4214285714285713</v>
      </c>
      <c r="AV16" s="11">
        <f>Y16/776.02</f>
        <v>0.16257752395988745</v>
      </c>
      <c r="AW16" s="11">
        <f>Z16/639.8</f>
        <v>0.15736689572917789</v>
      </c>
      <c r="AX16" s="11">
        <f>AA16/804.19</f>
        <v>0.1568825901134705</v>
      </c>
      <c r="AY16" s="11">
        <f>AB16</f>
        <v>0.115</v>
      </c>
      <c r="AZ16" s="11">
        <f>AC16</f>
        <v>0.1075</v>
      </c>
      <c r="BA16" s="11">
        <f>AD16</f>
        <v>0.115</v>
      </c>
      <c r="BB16" s="10">
        <f>AVERAGE(AV16:BA16)*2</f>
        <v>0.27144233660084532</v>
      </c>
      <c r="BC16" s="10">
        <f>AVERAGE(AK16,AO16,AU16,BB16)</f>
        <v>0.60615784642976922</v>
      </c>
    </row>
    <row r="17" spans="1:55" x14ac:dyDescent="0.3">
      <c r="A17" s="2" t="s">
        <v>415</v>
      </c>
      <c r="B17" s="2" t="s">
        <v>258</v>
      </c>
      <c r="C17" s="2" t="s">
        <v>644</v>
      </c>
      <c r="D17" s="2" t="s">
        <v>644</v>
      </c>
      <c r="E17" s="2" t="s">
        <v>644</v>
      </c>
      <c r="F17" s="2" t="s">
        <v>662</v>
      </c>
      <c r="G17" s="2" t="s">
        <v>655</v>
      </c>
      <c r="H17" s="2" t="s">
        <v>888</v>
      </c>
      <c r="I17" s="2" t="s">
        <v>106</v>
      </c>
      <c r="J17" s="2">
        <v>3</v>
      </c>
      <c r="K17" s="9">
        <v>0.71067617809963668</v>
      </c>
      <c r="L17" s="9">
        <v>0.99898122225705177</v>
      </c>
      <c r="M17" s="9">
        <v>0.41498422910194016</v>
      </c>
      <c r="N17" s="4">
        <v>76</v>
      </c>
      <c r="O17" s="6">
        <f>N17/96530</f>
        <v>7.8732000414378947E-4</v>
      </c>
      <c r="P17" s="4">
        <f>(613+224+134+134+19+76)/6</f>
        <v>200</v>
      </c>
      <c r="Q17" s="6">
        <f>P17/96530</f>
        <v>2.0718947477468145E-3</v>
      </c>
      <c r="R17" s="4">
        <v>613</v>
      </c>
      <c r="S17" s="6">
        <f>R17/92639</f>
        <v>6.6170835177409085E-3</v>
      </c>
      <c r="T17" s="2" t="s">
        <v>724</v>
      </c>
      <c r="U17" s="2" t="s">
        <v>722</v>
      </c>
      <c r="V17" s="5">
        <v>31824687.030000001</v>
      </c>
      <c r="W17" s="5">
        <v>28138738.719999999</v>
      </c>
      <c r="X17" s="5">
        <v>45650685.350000001</v>
      </c>
      <c r="Y17" s="5">
        <f>V17/92639</f>
        <v>343.53444046244022</v>
      </c>
      <c r="Z17" s="5">
        <f>W17/92639</f>
        <v>303.74614061032611</v>
      </c>
      <c r="AA17" s="5">
        <f>X17/92639</f>
        <v>492.78042023337906</v>
      </c>
      <c r="AB17" s="6">
        <v>8.9300000000000004E-2</v>
      </c>
      <c r="AC17" s="6">
        <v>7.5899999999999995E-2</v>
      </c>
      <c r="AD17" s="6">
        <v>0.1074</v>
      </c>
      <c r="AE17" s="2" t="s">
        <v>741</v>
      </c>
      <c r="AF17" s="2">
        <v>14</v>
      </c>
      <c r="AG17" s="2">
        <v>8</v>
      </c>
      <c r="AH17" s="8">
        <f>K17</f>
        <v>0.71067617809963668</v>
      </c>
      <c r="AI17" s="8">
        <f>L17</f>
        <v>0.99898122225705177</v>
      </c>
      <c r="AJ17" s="8">
        <f>M17</f>
        <v>0.41498422910194016</v>
      </c>
      <c r="AK17" s="8">
        <f>AVERAGE(AH17:AJ17)</f>
        <v>0.70821387648620959</v>
      </c>
      <c r="AL17" s="11">
        <f>(O17/12.69)*100</f>
        <v>6.2042553518029111E-3</v>
      </c>
      <c r="AM17" s="11">
        <f>(Q17/9.99)*100</f>
        <v>2.0739687164632779E-2</v>
      </c>
      <c r="AN17" s="11">
        <f>(S17/12.69)*100</f>
        <v>5.2144078153986674E-2</v>
      </c>
      <c r="AO17" s="11">
        <f>AVERAGE(AL17:AN17)</f>
        <v>2.6362673556807454E-2</v>
      </c>
      <c r="AP17" s="10">
        <v>1</v>
      </c>
      <c r="AQ17" s="10">
        <v>1</v>
      </c>
      <c r="AR17" s="10">
        <v>0.75</v>
      </c>
      <c r="AS17" s="10">
        <f>AF17/32</f>
        <v>0.4375</v>
      </c>
      <c r="AT17" s="10">
        <f>AG17/28</f>
        <v>0.2857142857142857</v>
      </c>
      <c r="AU17" s="10">
        <f>AVERAGE(AP17:AT17)*2</f>
        <v>1.3892857142857142</v>
      </c>
      <c r="AV17" s="11">
        <f>Y17/776.02</f>
        <v>0.44268761173995547</v>
      </c>
      <c r="AW17" s="11">
        <f>Z17/639.8</f>
        <v>0.4747517046113256</v>
      </c>
      <c r="AX17" s="11">
        <f>AA17/804.19</f>
        <v>0.61276616251554861</v>
      </c>
      <c r="AY17" s="11">
        <f>AB17</f>
        <v>8.9300000000000004E-2</v>
      </c>
      <c r="AZ17" s="11">
        <f>AC17</f>
        <v>7.5899999999999995E-2</v>
      </c>
      <c r="BA17" s="11">
        <f>AD17</f>
        <v>0.1074</v>
      </c>
      <c r="BB17" s="10">
        <f>AVERAGE(AV17:BA17)*2</f>
        <v>0.60093515962227662</v>
      </c>
      <c r="BC17" s="10">
        <f>AVERAGE(AK17,AO17,AU17,BB17)</f>
        <v>0.68119935598775194</v>
      </c>
    </row>
    <row r="18" spans="1:55" x14ac:dyDescent="0.3">
      <c r="A18" s="2" t="s">
        <v>546</v>
      </c>
      <c r="B18" s="2" t="s">
        <v>201</v>
      </c>
      <c r="C18" s="2" t="s">
        <v>249</v>
      </c>
      <c r="D18" s="2" t="s">
        <v>249</v>
      </c>
      <c r="E18" s="2" t="s">
        <v>282</v>
      </c>
      <c r="F18" s="2" t="s">
        <v>249</v>
      </c>
      <c r="G18" s="2" t="s">
        <v>657</v>
      </c>
      <c r="H18" s="2" t="s">
        <v>884</v>
      </c>
      <c r="I18" s="2" t="s">
        <v>249</v>
      </c>
      <c r="J18" s="2">
        <v>1</v>
      </c>
      <c r="K18" s="9">
        <v>0.79592108642639559</v>
      </c>
      <c r="L18" s="9">
        <v>1</v>
      </c>
      <c r="M18" s="9">
        <v>0.81932668358517391</v>
      </c>
      <c r="N18" s="4">
        <v>192</v>
      </c>
      <c r="O18" s="6">
        <f>N18/342613</f>
        <v>5.6039905082410767E-4</v>
      </c>
      <c r="P18" s="4">
        <v>300</v>
      </c>
      <c r="Q18" s="6">
        <f>P18/291681</f>
        <v>1.0285208841165519E-3</v>
      </c>
      <c r="R18" s="4">
        <v>603</v>
      </c>
      <c r="S18" s="6">
        <f>R18/342613</f>
        <v>1.7600032689944632E-3</v>
      </c>
      <c r="T18" s="2" t="s">
        <v>721</v>
      </c>
      <c r="U18" s="2" t="s">
        <v>722</v>
      </c>
      <c r="AB18" s="6">
        <v>0.05</v>
      </c>
      <c r="AC18" s="6">
        <v>0.05</v>
      </c>
      <c r="AD18" s="6">
        <v>0.05</v>
      </c>
      <c r="AE18" s="2" t="s">
        <v>745</v>
      </c>
      <c r="AF18" s="2">
        <v>20</v>
      </c>
      <c r="AG18" s="2">
        <v>20</v>
      </c>
      <c r="AH18" s="8">
        <f>K18</f>
        <v>0.79592108642639559</v>
      </c>
      <c r="AI18" s="8">
        <f>L18</f>
        <v>1</v>
      </c>
      <c r="AJ18" s="8">
        <f>M18</f>
        <v>0.81932668358517391</v>
      </c>
      <c r="AK18" s="8">
        <f>AVERAGE(AH18:AJ18)</f>
        <v>0.87174925667052328</v>
      </c>
      <c r="AL18" s="11">
        <f>(O18/12.69)*100</f>
        <v>4.4160681704027401E-3</v>
      </c>
      <c r="AM18" s="11">
        <f>(Q18/9.99)*100</f>
        <v>1.029550434551103E-2</v>
      </c>
      <c r="AN18" s="11">
        <f>(S18/12.69)*100</f>
        <v>1.3869214097671107E-2</v>
      </c>
      <c r="AO18" s="11">
        <f>AVERAGE(AL18:AN18)</f>
        <v>9.5269288711949587E-3</v>
      </c>
      <c r="AP18" s="10">
        <v>0.75</v>
      </c>
      <c r="AQ18" s="10">
        <v>1</v>
      </c>
      <c r="AR18" s="10">
        <v>0.25</v>
      </c>
      <c r="AS18" s="10">
        <f>AF18/32</f>
        <v>0.625</v>
      </c>
      <c r="AT18" s="10">
        <f>AG18/28</f>
        <v>0.7142857142857143</v>
      </c>
      <c r="AU18" s="10">
        <f>AVERAGE(AP18:AT18)*2</f>
        <v>1.3357142857142859</v>
      </c>
      <c r="AY18" s="11">
        <f>AB18</f>
        <v>0.05</v>
      </c>
      <c r="AZ18" s="11">
        <f>AC18</f>
        <v>0.05</v>
      </c>
      <c r="BA18" s="11">
        <f>AD18</f>
        <v>0.05</v>
      </c>
      <c r="BB18" s="10">
        <f>AVERAGE(AV18:BA18)*2</f>
        <v>0.10000000000000002</v>
      </c>
      <c r="BC18" s="10">
        <f>AVERAGE(AK18,AO18,AU18,BB18)</f>
        <v>0.57924761781400103</v>
      </c>
    </row>
    <row r="19" spans="1:55" x14ac:dyDescent="0.3">
      <c r="A19" s="2" t="s">
        <v>596</v>
      </c>
      <c r="B19" s="2" t="s">
        <v>201</v>
      </c>
      <c r="C19" s="2" t="s">
        <v>249</v>
      </c>
      <c r="D19" s="2" t="s">
        <v>244</v>
      </c>
      <c r="E19" s="2" t="s">
        <v>244</v>
      </c>
      <c r="F19" s="2" t="s">
        <v>664</v>
      </c>
      <c r="G19" s="2" t="s">
        <v>651</v>
      </c>
      <c r="H19" s="2" t="s">
        <v>886</v>
      </c>
      <c r="I19" s="2" t="s">
        <v>249</v>
      </c>
      <c r="J19" s="2">
        <v>2</v>
      </c>
      <c r="K19" s="9">
        <v>0.61128588604338863</v>
      </c>
      <c r="L19" s="9">
        <v>1</v>
      </c>
      <c r="M19" s="9">
        <v>0.42377107613709514</v>
      </c>
      <c r="N19" s="4">
        <v>98305</v>
      </c>
      <c r="O19" s="6">
        <f>N19/414029</f>
        <v>0.23743505889684055</v>
      </c>
      <c r="P19" s="4">
        <v>77528</v>
      </c>
      <c r="Q19" s="6">
        <f>P19/414029</f>
        <v>0.18725258375621032</v>
      </c>
      <c r="R19" s="4">
        <f>N19</f>
        <v>98305</v>
      </c>
      <c r="S19" s="6">
        <f>O19</f>
        <v>0.23743505889684055</v>
      </c>
      <c r="T19" s="2" t="s">
        <v>724</v>
      </c>
      <c r="U19" s="2" t="s">
        <v>722</v>
      </c>
      <c r="V19" s="5">
        <v>3850000</v>
      </c>
      <c r="W19" s="5">
        <v>3700000</v>
      </c>
      <c r="X19" s="5">
        <v>3850000</v>
      </c>
      <c r="Y19" s="5">
        <f>V19/414029</f>
        <v>9.2988655384043142</v>
      </c>
      <c r="Z19" s="5">
        <f>W19/414029</f>
        <v>8.9365720758690816</v>
      </c>
      <c r="AA19" s="5">
        <f>X19/414029</f>
        <v>9.2988655384043142</v>
      </c>
      <c r="AE19" s="2" t="s">
        <v>861</v>
      </c>
      <c r="AF19" s="2">
        <v>20</v>
      </c>
      <c r="AG19" s="2">
        <v>12</v>
      </c>
      <c r="AH19" s="8">
        <f>K19</f>
        <v>0.61128588604338863</v>
      </c>
      <c r="AI19" s="8">
        <f>L19</f>
        <v>1</v>
      </c>
      <c r="AJ19" s="8">
        <f>M19</f>
        <v>0.42377107613709514</v>
      </c>
      <c r="AK19" s="8">
        <f>AVERAGE(AH19:AJ19)</f>
        <v>0.67835232072682794</v>
      </c>
      <c r="AL19" s="11">
        <v>1.5</v>
      </c>
      <c r="AM19" s="11">
        <v>1.5</v>
      </c>
      <c r="AN19" s="11">
        <v>1.5</v>
      </c>
      <c r="AO19" s="11">
        <f>AVERAGE(AL19:AN19)</f>
        <v>1.5</v>
      </c>
      <c r="AP19" s="10">
        <v>1</v>
      </c>
      <c r="AQ19" s="10">
        <v>1</v>
      </c>
      <c r="AR19" s="10">
        <v>0.25</v>
      </c>
      <c r="AS19" s="10">
        <f>AF19/32</f>
        <v>0.625</v>
      </c>
      <c r="AT19" s="10">
        <f>AG19/28</f>
        <v>0.42857142857142855</v>
      </c>
      <c r="AU19" s="10">
        <f>AVERAGE(AP19:AT19)*2</f>
        <v>1.3214285714285714</v>
      </c>
      <c r="AV19" s="11">
        <f>Y19/776.02</f>
        <v>1.1982765313270681E-2</v>
      </c>
      <c r="AW19" s="11">
        <f>Z19/639.8</f>
        <v>1.3967758793168306E-2</v>
      </c>
      <c r="AX19" s="11">
        <f>AA19/804.19</f>
        <v>1.1563020602599278E-2</v>
      </c>
      <c r="AY19" s="11"/>
    </row>
    <row r="20" spans="1:55" x14ac:dyDescent="0.3">
      <c r="A20" s="2" t="s">
        <v>387</v>
      </c>
      <c r="B20" s="2" t="s">
        <v>70</v>
      </c>
      <c r="C20" s="2" t="s">
        <v>74</v>
      </c>
      <c r="D20" s="2" t="s">
        <v>83</v>
      </c>
      <c r="E20" s="3" t="s">
        <v>811</v>
      </c>
      <c r="F20" s="3" t="s">
        <v>662</v>
      </c>
      <c r="G20" s="2" t="s">
        <v>655</v>
      </c>
      <c r="H20" s="2" t="s">
        <v>888</v>
      </c>
      <c r="I20" s="2" t="s">
        <v>74</v>
      </c>
      <c r="J20" s="2">
        <v>3</v>
      </c>
      <c r="K20" s="9">
        <v>0.76774309916553496</v>
      </c>
      <c r="L20" s="9">
        <v>0.98821878656924311</v>
      </c>
      <c r="M20" s="9">
        <v>0.5980108226849854</v>
      </c>
      <c r="N20" s="4">
        <v>2429</v>
      </c>
      <c r="O20" s="6">
        <f>N20/110335</f>
        <v>2.2014773190737299E-2</v>
      </c>
      <c r="P20" s="4">
        <v>8485</v>
      </c>
      <c r="Q20" s="6">
        <f>P20/104349</f>
        <v>8.1313668554562096E-2</v>
      </c>
      <c r="R20" s="4">
        <v>12000</v>
      </c>
      <c r="S20" s="6">
        <f>R20/98322</f>
        <v>0.12204796485018612</v>
      </c>
      <c r="T20" s="2" t="s">
        <v>724</v>
      </c>
      <c r="U20" s="2" t="s">
        <v>722</v>
      </c>
      <c r="V20" s="5">
        <v>40000000</v>
      </c>
      <c r="W20" s="5">
        <v>34025147.030000001</v>
      </c>
      <c r="X20" s="5">
        <v>42141098.100000001</v>
      </c>
      <c r="Y20" s="5">
        <v>362.53</v>
      </c>
      <c r="Z20" s="5">
        <f>W20/104328</f>
        <v>326.1362915995706</v>
      </c>
      <c r="AA20" s="5">
        <f>X20/98322</f>
        <v>428.60293830475376</v>
      </c>
      <c r="AB20" s="6">
        <v>0.20119999999999999</v>
      </c>
      <c r="AC20" s="6">
        <v>0.44409999999999999</v>
      </c>
      <c r="AD20" s="6">
        <v>0.76949999999999996</v>
      </c>
      <c r="AE20" s="2" t="s">
        <v>746</v>
      </c>
      <c r="AF20" s="2">
        <v>5</v>
      </c>
      <c r="AG20" s="2">
        <v>4</v>
      </c>
      <c r="AH20" s="8">
        <f>K20</f>
        <v>0.76774309916553496</v>
      </c>
      <c r="AI20" s="8">
        <f>L20</f>
        <v>0.98821878656924311</v>
      </c>
      <c r="AJ20" s="8">
        <f>M20</f>
        <v>0.5980108226849854</v>
      </c>
      <c r="AK20" s="8">
        <f>AVERAGE(AH20:AJ20)</f>
        <v>0.78465756947325449</v>
      </c>
      <c r="AL20" s="11">
        <f>(O20/12.69)*100</f>
        <v>0.17348127021857604</v>
      </c>
      <c r="AM20" s="11">
        <f>(Q20/9.99)*100</f>
        <v>0.81395063618180286</v>
      </c>
      <c r="AN20" s="11">
        <f>(S20/12.69)*100</f>
        <v>0.96176489243645502</v>
      </c>
      <c r="AO20" s="11">
        <f>AVERAGE(AL20:AN20)</f>
        <v>0.64973226627894465</v>
      </c>
      <c r="AP20" s="10">
        <v>1</v>
      </c>
      <c r="AQ20" s="10">
        <v>1</v>
      </c>
      <c r="AR20" s="10">
        <v>1</v>
      </c>
      <c r="AS20" s="10">
        <f>AF20/32</f>
        <v>0.15625</v>
      </c>
      <c r="AT20" s="10">
        <f>AG20/28</f>
        <v>0.14285714285714285</v>
      </c>
      <c r="AU20" s="10">
        <f>AVERAGE(AP20:AT20)*2</f>
        <v>1.3196428571428571</v>
      </c>
      <c r="AV20" s="11">
        <f>Y20/776.02</f>
        <v>0.46716579469601299</v>
      </c>
      <c r="AW20" s="11">
        <f>Z20/639.8</f>
        <v>0.50974725164046675</v>
      </c>
      <c r="AX20" s="11">
        <f>AA20/804.19</f>
        <v>0.53296228292412706</v>
      </c>
      <c r="AY20" s="11">
        <f>AB20</f>
        <v>0.20119999999999999</v>
      </c>
      <c r="AZ20" s="11">
        <f>AC20</f>
        <v>0.44409999999999999</v>
      </c>
      <c r="BA20" s="11">
        <f>AD20</f>
        <v>0.76949999999999996</v>
      </c>
      <c r="BB20" s="10">
        <f>AVERAGE(AV20:BA20)*2</f>
        <v>0.97489177642020231</v>
      </c>
      <c r="BC20" s="10">
        <f>AVERAGE(AK20,AO20,AU20,BB20)</f>
        <v>0.9322311173288147</v>
      </c>
    </row>
    <row r="21" spans="1:55" x14ac:dyDescent="0.3">
      <c r="A21" s="2" t="s">
        <v>412</v>
      </c>
      <c r="B21" s="2" t="s">
        <v>103</v>
      </c>
      <c r="C21" s="2" t="s">
        <v>104</v>
      </c>
      <c r="D21" s="2" t="s">
        <v>104</v>
      </c>
      <c r="E21" s="2" t="s">
        <v>104</v>
      </c>
      <c r="F21" s="2" t="s">
        <v>662</v>
      </c>
      <c r="G21" s="2" t="s">
        <v>652</v>
      </c>
      <c r="H21" s="2" t="s">
        <v>885</v>
      </c>
      <c r="I21" s="2" t="s">
        <v>249</v>
      </c>
      <c r="J21" s="2">
        <v>2</v>
      </c>
      <c r="K21" s="9">
        <v>0.54281604318410537</v>
      </c>
      <c r="L21" s="9">
        <v>1</v>
      </c>
      <c r="M21" s="9">
        <v>0.40099685505897936</v>
      </c>
      <c r="N21" s="4">
        <f>8843+119</f>
        <v>8962</v>
      </c>
      <c r="O21" s="6">
        <f>N21/942140</f>
        <v>9.5123866941218931E-3</v>
      </c>
      <c r="P21" s="4">
        <v>1257</v>
      </c>
      <c r="Q21" s="6">
        <f>P21/797519</f>
        <v>1.5761379979661926E-3</v>
      </c>
      <c r="R21" s="4">
        <v>8962</v>
      </c>
      <c r="S21" s="6">
        <v>9.5123866941218931E-3</v>
      </c>
      <c r="T21" s="2" t="s">
        <v>721</v>
      </c>
      <c r="U21" s="2" t="s">
        <v>722</v>
      </c>
      <c r="V21" s="5" t="s">
        <v>662</v>
      </c>
      <c r="W21" s="5" t="s">
        <v>662</v>
      </c>
      <c r="Y21" s="5" t="s">
        <v>662</v>
      </c>
      <c r="Z21" s="5" t="s">
        <v>662</v>
      </c>
      <c r="AB21" s="5" t="s">
        <v>662</v>
      </c>
      <c r="AC21" s="5" t="s">
        <v>662</v>
      </c>
      <c r="AE21" s="2" t="s">
        <v>773</v>
      </c>
      <c r="AF21" s="2">
        <v>23</v>
      </c>
      <c r="AG21" s="2">
        <v>16</v>
      </c>
      <c r="AH21" s="8">
        <f>K21</f>
        <v>0.54281604318410537</v>
      </c>
      <c r="AI21" s="8">
        <f>L21</f>
        <v>1</v>
      </c>
      <c r="AJ21" s="8">
        <f>M21</f>
        <v>0.40099685505897936</v>
      </c>
      <c r="AK21" s="8">
        <f>AVERAGE(AH21:AJ21)</f>
        <v>0.64793763274769489</v>
      </c>
      <c r="AL21" s="11">
        <f>(O21/12.69)*100</f>
        <v>7.4959706021449121E-2</v>
      </c>
      <c r="AM21" s="11">
        <f>(Q21/9.99)*100</f>
        <v>1.5777157136798722E-2</v>
      </c>
      <c r="AN21" s="11">
        <f>(S21/12.69)*100</f>
        <v>7.4959706021449121E-2</v>
      </c>
      <c r="AO21" s="11">
        <f>AVERAGE(AL21:AN21)</f>
        <v>5.5232189726565656E-2</v>
      </c>
      <c r="AP21" s="10">
        <v>0.75</v>
      </c>
      <c r="AQ21" s="10">
        <v>1</v>
      </c>
      <c r="AR21" s="10">
        <v>0.25</v>
      </c>
      <c r="AS21" s="10">
        <f>AF21/32</f>
        <v>0.71875</v>
      </c>
      <c r="AT21" s="10">
        <f>AG21/28</f>
        <v>0.5714285714285714</v>
      </c>
      <c r="AU21" s="10">
        <f>AVERAGE(AP21:AT21)*2</f>
        <v>1.3160714285714286</v>
      </c>
    </row>
    <row r="22" spans="1:55" x14ac:dyDescent="0.3">
      <c r="A22" s="2">
        <v>3131307</v>
      </c>
      <c r="B22" s="2" t="s">
        <v>70</v>
      </c>
      <c r="C22" s="2" t="s">
        <v>82</v>
      </c>
      <c r="D22" s="2" t="s">
        <v>82</v>
      </c>
      <c r="E22" s="3" t="s">
        <v>807</v>
      </c>
      <c r="F22" s="3" t="s">
        <v>82</v>
      </c>
      <c r="G22" s="2" t="s">
        <v>651</v>
      </c>
      <c r="H22" s="2" t="s">
        <v>886</v>
      </c>
      <c r="I22" s="2" t="s">
        <v>74</v>
      </c>
      <c r="J22" s="2">
        <v>2</v>
      </c>
      <c r="K22" s="9">
        <v>0.51260722889667121</v>
      </c>
      <c r="L22" s="9">
        <v>1</v>
      </c>
      <c r="M22" s="9">
        <v>0.23728104186660307</v>
      </c>
      <c r="N22" s="4">
        <v>3501</v>
      </c>
      <c r="O22" s="6">
        <f>N22/239468</f>
        <v>1.4619907461539747E-2</v>
      </c>
      <c r="P22" s="4">
        <v>2532</v>
      </c>
      <c r="Q22" s="6">
        <f>P22/210678</f>
        <v>1.2018340785464073E-2</v>
      </c>
      <c r="R22" s="4">
        <v>3501</v>
      </c>
      <c r="S22" s="6">
        <v>1.46E-2</v>
      </c>
      <c r="T22" s="2" t="s">
        <v>724</v>
      </c>
      <c r="U22" s="2" t="s">
        <v>725</v>
      </c>
      <c r="V22" s="5">
        <v>24454143.629999999</v>
      </c>
      <c r="W22" s="5">
        <v>16369268.029999999</v>
      </c>
      <c r="X22" s="5">
        <v>63155425.609999999</v>
      </c>
      <c r="Y22" s="5">
        <f>V22/239468</f>
        <v>102.11862808391935</v>
      </c>
      <c r="Z22" s="5">
        <f>W22/210678</f>
        <v>77.69804170345266</v>
      </c>
      <c r="AA22" s="5">
        <f>X22/180069</f>
        <v>350.7290294831426</v>
      </c>
      <c r="AB22" s="6">
        <v>1.72E-2</v>
      </c>
      <c r="AC22" s="6">
        <v>1.09E-2</v>
      </c>
      <c r="AD22" s="6">
        <v>1.72E-2</v>
      </c>
      <c r="AE22" s="2" t="s">
        <v>750</v>
      </c>
      <c r="AF22" s="2">
        <v>21</v>
      </c>
      <c r="AG22" s="2">
        <v>16</v>
      </c>
      <c r="AH22" s="8">
        <f>K22</f>
        <v>0.51260722889667121</v>
      </c>
      <c r="AI22" s="8">
        <f>L22</f>
        <v>1</v>
      </c>
      <c r="AJ22" s="8">
        <f>M22</f>
        <v>0.23728104186660307</v>
      </c>
      <c r="AK22" s="8">
        <f>AVERAGE(AH22:AJ22)</f>
        <v>0.58329609025442475</v>
      </c>
      <c r="AL22" s="11">
        <f>(O22/12.69)*100</f>
        <v>0.11520809662363866</v>
      </c>
      <c r="AM22" s="11">
        <f>(Q22/9.99)*100</f>
        <v>0.12030371156620692</v>
      </c>
      <c r="AN22" s="11">
        <f>(S22/12.69)*100</f>
        <v>0.11505122143420016</v>
      </c>
      <c r="AO22" s="11">
        <f>AVERAGE(AL22:AN22)</f>
        <v>0.11685434320801524</v>
      </c>
      <c r="AP22" s="10">
        <v>1</v>
      </c>
      <c r="AQ22" s="10">
        <v>0</v>
      </c>
      <c r="AR22" s="10">
        <v>1</v>
      </c>
      <c r="AS22" s="10">
        <f>AF22/32</f>
        <v>0.65625</v>
      </c>
      <c r="AT22" s="10">
        <f>AG22/28</f>
        <v>0.5714285714285714</v>
      </c>
      <c r="AU22" s="10">
        <f>AVERAGE(AP22:AT22)*2</f>
        <v>1.2910714285714284</v>
      </c>
      <c r="AV22" s="11">
        <f>Y22/776.02</f>
        <v>0.13159277864477636</v>
      </c>
      <c r="AW22" s="11">
        <f>Z22/639.8</f>
        <v>0.12144114051805668</v>
      </c>
      <c r="AX22" s="11">
        <f>AA22/804.19</f>
        <v>0.43612707131790074</v>
      </c>
      <c r="AY22" s="11">
        <f>AB22</f>
        <v>1.72E-2</v>
      </c>
      <c r="AZ22" s="11">
        <f>AC22</f>
        <v>1.09E-2</v>
      </c>
      <c r="BA22" s="11">
        <f>AD22</f>
        <v>1.72E-2</v>
      </c>
      <c r="BB22" s="10">
        <f>AVERAGE(AV22:BA22)*2</f>
        <v>0.2448203301602446</v>
      </c>
      <c r="BC22" s="10">
        <f>AVERAGE(AK22,AO22,AU22,BB22)</f>
        <v>0.55901054804852823</v>
      </c>
    </row>
    <row r="23" spans="1:55" x14ac:dyDescent="0.3">
      <c r="A23" s="2" t="s">
        <v>477</v>
      </c>
      <c r="B23" s="2" t="s">
        <v>159</v>
      </c>
      <c r="C23" s="2" t="s">
        <v>160</v>
      </c>
      <c r="D23" s="2" t="s">
        <v>160</v>
      </c>
      <c r="E23" s="2" t="s">
        <v>802</v>
      </c>
      <c r="F23" s="2" t="s">
        <v>160</v>
      </c>
      <c r="G23" s="2" t="s">
        <v>652</v>
      </c>
      <c r="H23" s="2" t="s">
        <v>885</v>
      </c>
      <c r="I23" s="2" t="s">
        <v>124</v>
      </c>
      <c r="J23" s="2">
        <v>2</v>
      </c>
      <c r="K23" s="9">
        <v>0.52050760235399851</v>
      </c>
      <c r="L23" s="9">
        <v>1</v>
      </c>
      <c r="M23" s="9">
        <v>0.29328466972809503</v>
      </c>
      <c r="N23" s="4">
        <v>425</v>
      </c>
      <c r="O23" s="6">
        <f>N23/751932</f>
        <v>5.6521068394482484E-4</v>
      </c>
      <c r="P23" s="4">
        <v>2075</v>
      </c>
      <c r="Q23" s="6">
        <f>P23/720853</f>
        <v>2.8785341810327486E-3</v>
      </c>
      <c r="R23" s="4">
        <v>3897</v>
      </c>
      <c r="S23" s="6">
        <f>R23/777836</f>
        <v>5.0100535331355197E-3</v>
      </c>
      <c r="T23" s="2" t="s">
        <v>724</v>
      </c>
      <c r="U23" s="2" t="s">
        <v>722</v>
      </c>
      <c r="V23" s="5">
        <v>16425744.859999999</v>
      </c>
      <c r="W23" s="5">
        <v>13731555.140000001</v>
      </c>
      <c r="X23" s="5">
        <v>32723497.190000001</v>
      </c>
      <c r="Y23" s="5">
        <f>V23/731952</f>
        <v>22.441013700351935</v>
      </c>
      <c r="Z23" s="5">
        <f>W23/777836</f>
        <v>17.653535115371366</v>
      </c>
      <c r="AA23" s="5">
        <f>X23/712317</f>
        <v>45.939514556019304</v>
      </c>
      <c r="AB23" s="6">
        <v>3.1E-2</v>
      </c>
      <c r="AC23" s="6">
        <v>2.5499999999999998E-2</v>
      </c>
      <c r="AD23" s="6">
        <v>7.1099999999999997E-2</v>
      </c>
      <c r="AE23" s="2" t="s">
        <v>783</v>
      </c>
      <c r="AF23" s="2">
        <v>17</v>
      </c>
      <c r="AG23" s="2">
        <v>12</v>
      </c>
      <c r="AH23" s="8">
        <f>K23</f>
        <v>0.52050760235399851</v>
      </c>
      <c r="AI23" s="8">
        <f>L23</f>
        <v>1</v>
      </c>
      <c r="AJ23" s="8">
        <f>M23</f>
        <v>0.29328466972809503</v>
      </c>
      <c r="AK23" s="8">
        <f>AVERAGE(AH23:AJ23)</f>
        <v>0.60459742402736449</v>
      </c>
      <c r="AL23" s="11">
        <f>(O23/12.69)*100</f>
        <v>4.4539849010624497E-3</v>
      </c>
      <c r="AM23" s="11">
        <f>(Q23/9.99)*100</f>
        <v>2.8814155966293779E-2</v>
      </c>
      <c r="AN23" s="11">
        <f>(S23/12.69)*100</f>
        <v>3.9480327290272024E-2</v>
      </c>
      <c r="AO23" s="11">
        <f>AVERAGE(AL23:AN23)</f>
        <v>2.4249489385876084E-2</v>
      </c>
      <c r="AP23" s="10">
        <v>1</v>
      </c>
      <c r="AQ23" s="10">
        <v>1</v>
      </c>
      <c r="AR23" s="10">
        <v>0.25</v>
      </c>
      <c r="AS23" s="10">
        <f>AF23/32</f>
        <v>0.53125</v>
      </c>
      <c r="AT23" s="10">
        <f>AG23/28</f>
        <v>0.42857142857142855</v>
      </c>
      <c r="AU23" s="10">
        <f>AVERAGE(AP23:AT23)*2</f>
        <v>1.2839285714285713</v>
      </c>
      <c r="AV23" s="11">
        <f>Y23/776.02</f>
        <v>2.8918086776567532E-2</v>
      </c>
      <c r="AW23" s="11">
        <f>Z23/639.8</f>
        <v>2.7592271202518549E-2</v>
      </c>
      <c r="AX23" s="11">
        <f>AA23/804.19</f>
        <v>5.7125199960232409E-2</v>
      </c>
      <c r="AY23" s="11">
        <f>AB23</f>
        <v>3.1E-2</v>
      </c>
      <c r="AZ23" s="11">
        <f>AC23</f>
        <v>2.5499999999999998E-2</v>
      </c>
      <c r="BA23" s="11">
        <f>AD23</f>
        <v>7.1099999999999997E-2</v>
      </c>
      <c r="BB23" s="10">
        <f>AVERAGE(AV23:BA23)*2</f>
        <v>8.0411852646439491E-2</v>
      </c>
      <c r="BC23" s="10">
        <f>AVERAGE(AK23,AO23,AU23,BB23)</f>
        <v>0.49829683437206285</v>
      </c>
    </row>
    <row r="24" spans="1:55" x14ac:dyDescent="0.3">
      <c r="A24" s="2" t="s">
        <v>353</v>
      </c>
      <c r="B24" s="2" t="s">
        <v>52</v>
      </c>
      <c r="C24" s="2" t="s">
        <v>57</v>
      </c>
      <c r="D24" s="2" t="s">
        <v>57</v>
      </c>
      <c r="E24" s="3" t="s">
        <v>831</v>
      </c>
      <c r="F24" s="3" t="s">
        <v>57</v>
      </c>
      <c r="G24" s="2" t="s">
        <v>653</v>
      </c>
      <c r="H24" s="2" t="s">
        <v>884</v>
      </c>
      <c r="I24" s="2" t="s">
        <v>57</v>
      </c>
      <c r="J24" s="2">
        <v>1</v>
      </c>
      <c r="K24" s="9">
        <v>0.73085703703738103</v>
      </c>
      <c r="L24" s="9">
        <v>1</v>
      </c>
      <c r="M24" s="9">
        <v>0.72694334342929756</v>
      </c>
      <c r="N24" s="4">
        <v>9133</v>
      </c>
      <c r="O24" s="6">
        <f>N24/321181</f>
        <v>2.843567957008665E-2</v>
      </c>
      <c r="P24" s="4">
        <v>5300</v>
      </c>
      <c r="Q24" s="6">
        <f>P24/321181</f>
        <v>1.6501598786976813E-2</v>
      </c>
      <c r="R24" s="4">
        <v>9133</v>
      </c>
      <c r="S24" s="6">
        <v>2.843567957008665E-2</v>
      </c>
      <c r="T24" s="2" t="s">
        <v>724</v>
      </c>
      <c r="U24" s="2" t="s">
        <v>725</v>
      </c>
      <c r="V24" s="5">
        <v>121626252</v>
      </c>
      <c r="W24" s="5">
        <v>71388719.420000002</v>
      </c>
      <c r="X24" s="5">
        <v>121626252</v>
      </c>
      <c r="Y24" s="5">
        <f>V24/321181</f>
        <v>378.68445518259176</v>
      </c>
      <c r="Z24" s="5">
        <f>W24/321181</f>
        <v>222.26943505375473</v>
      </c>
      <c r="AA24" s="5">
        <f>X24/321181</f>
        <v>378.68445518259176</v>
      </c>
      <c r="AB24" s="6">
        <v>0.30499999999999999</v>
      </c>
      <c r="AC24" s="6">
        <v>0.28210000000000002</v>
      </c>
      <c r="AD24" s="6">
        <v>0.42799999999999999</v>
      </c>
      <c r="AE24" s="2" t="s">
        <v>712</v>
      </c>
      <c r="AF24" s="2">
        <v>20</v>
      </c>
      <c r="AG24" s="2">
        <v>16</v>
      </c>
      <c r="AH24" s="8">
        <f>K24</f>
        <v>0.73085703703738103</v>
      </c>
      <c r="AI24" s="8">
        <f>L24</f>
        <v>1</v>
      </c>
      <c r="AJ24" s="8">
        <f>M24</f>
        <v>0.72694334342929756</v>
      </c>
      <c r="AK24" s="8">
        <f>AVERAGE(AH24:AJ24)</f>
        <v>0.81926679348889275</v>
      </c>
      <c r="AL24" s="11">
        <f>(O24/12.69)*100</f>
        <v>0.22407942923630145</v>
      </c>
      <c r="AM24" s="11">
        <f>(Q24/9.99)*100</f>
        <v>0.16518116903880695</v>
      </c>
      <c r="AN24" s="11">
        <f>(S24/12.69)*100</f>
        <v>0.22407942923630145</v>
      </c>
      <c r="AO24" s="11">
        <f>AVERAGE(AL24:AN24)</f>
        <v>0.2044466758371366</v>
      </c>
      <c r="AP24" s="10">
        <v>1</v>
      </c>
      <c r="AQ24" s="10">
        <v>0</v>
      </c>
      <c r="AR24" s="10">
        <v>1</v>
      </c>
      <c r="AS24" s="10">
        <f>AF24/32</f>
        <v>0.625</v>
      </c>
      <c r="AT24" s="10">
        <f>AG24/28</f>
        <v>0.5714285714285714</v>
      </c>
      <c r="AU24" s="10">
        <f>AVERAGE(AP24:AT24)*2</f>
        <v>1.2785714285714285</v>
      </c>
      <c r="AV24" s="11">
        <f>Y24/776.02</f>
        <v>0.48798285505862188</v>
      </c>
      <c r="AW24" s="11">
        <f>Z24/639.8</f>
        <v>0.3474045561953028</v>
      </c>
      <c r="AX24" s="11">
        <f>AA24/804.19</f>
        <v>0.47088928634102856</v>
      </c>
      <c r="AY24" s="11">
        <f>AB24</f>
        <v>0.30499999999999999</v>
      </c>
      <c r="AZ24" s="11">
        <f>AC24</f>
        <v>0.28210000000000002</v>
      </c>
      <c r="BA24" s="11">
        <f>AD24</f>
        <v>0.42799999999999999</v>
      </c>
      <c r="BB24" s="10">
        <f>AVERAGE(AV24:BA24)*2</f>
        <v>0.77379223253165108</v>
      </c>
      <c r="BC24" s="10">
        <f>AVERAGE(AK24,AO24,AU24,BB24)</f>
        <v>0.76901928260727725</v>
      </c>
    </row>
    <row r="25" spans="1:55" x14ac:dyDescent="0.3">
      <c r="A25" s="2" t="s">
        <v>607</v>
      </c>
      <c r="B25" s="2" t="s">
        <v>201</v>
      </c>
      <c r="C25" s="2" t="s">
        <v>289</v>
      </c>
      <c r="D25" s="2" t="s">
        <v>289</v>
      </c>
      <c r="E25" s="2" t="s">
        <v>289</v>
      </c>
      <c r="F25" s="2" t="s">
        <v>289</v>
      </c>
      <c r="G25" s="2" t="s">
        <v>656</v>
      </c>
      <c r="H25" s="2" t="s">
        <v>886</v>
      </c>
      <c r="I25" s="2" t="s">
        <v>249</v>
      </c>
      <c r="J25" s="2">
        <v>2</v>
      </c>
      <c r="K25" s="9">
        <v>0.69666127918212994</v>
      </c>
      <c r="L25" s="9">
        <v>1</v>
      </c>
      <c r="M25" s="9">
        <v>0.27665243115077554</v>
      </c>
      <c r="N25" s="4">
        <v>414</v>
      </c>
      <c r="O25" s="6">
        <f>N25/738128</f>
        <v>5.6087833004573727E-4</v>
      </c>
      <c r="P25" s="4">
        <v>740</v>
      </c>
      <c r="Q25" s="6">
        <f>P25/632377</f>
        <v>1.1701880365667949E-3</v>
      </c>
      <c r="R25" s="4">
        <v>1715</v>
      </c>
      <c r="S25" s="6">
        <f>R25/586625</f>
        <v>2.9235030897080756E-3</v>
      </c>
      <c r="T25" s="2" t="s">
        <v>721</v>
      </c>
      <c r="U25" s="2" t="s">
        <v>722</v>
      </c>
      <c r="V25" s="5">
        <v>106973803.02</v>
      </c>
      <c r="W25" s="5">
        <v>95151239.980000004</v>
      </c>
      <c r="X25" s="5">
        <v>115130546.89</v>
      </c>
      <c r="Y25" s="5">
        <f>V25/738128</f>
        <v>144.92581641666484</v>
      </c>
      <c r="Z25" s="5">
        <f>W25/738128</f>
        <v>128.90886130860773</v>
      </c>
      <c r="AA25" s="5">
        <f>X25/738128</f>
        <v>155.97639825341946</v>
      </c>
      <c r="AB25" s="6">
        <v>0.31259999999999999</v>
      </c>
      <c r="AC25" s="6">
        <v>0.29459999999999997</v>
      </c>
      <c r="AD25" s="6">
        <v>0.32540000000000002</v>
      </c>
      <c r="AE25" s="2" t="s">
        <v>745</v>
      </c>
      <c r="AF25" s="2">
        <v>17</v>
      </c>
      <c r="AG25" s="2">
        <v>17</v>
      </c>
      <c r="AH25" s="8">
        <f>K25</f>
        <v>0.69666127918212994</v>
      </c>
      <c r="AI25" s="8">
        <f>L25</f>
        <v>1</v>
      </c>
      <c r="AJ25" s="8">
        <f>M25</f>
        <v>0.27665243115077554</v>
      </c>
      <c r="AK25" s="8">
        <f>AVERAGE(AH25:AJ25)</f>
        <v>0.65777123677763516</v>
      </c>
      <c r="AL25" s="11">
        <f>(O25/12.69)*100</f>
        <v>4.41984499642031E-3</v>
      </c>
      <c r="AM25" s="11">
        <f>(Q25/9.99)*100</f>
        <v>1.1713593959627577E-2</v>
      </c>
      <c r="AN25" s="11">
        <f>(S25/12.69)*100</f>
        <v>2.3037849406683027E-2</v>
      </c>
      <c r="AO25" s="11">
        <f>AVERAGE(AL25:AN25)</f>
        <v>1.3057096120910305E-2</v>
      </c>
      <c r="AP25" s="10">
        <v>0.75</v>
      </c>
      <c r="AQ25" s="10">
        <v>1</v>
      </c>
      <c r="AR25" s="10">
        <v>0.25</v>
      </c>
      <c r="AS25" s="10">
        <f>AF25/32</f>
        <v>0.53125</v>
      </c>
      <c r="AT25" s="10">
        <f>AG25/28</f>
        <v>0.6071428571428571</v>
      </c>
      <c r="AU25" s="10">
        <f>AVERAGE(AP25:AT25)*2</f>
        <v>1.2553571428571428</v>
      </c>
      <c r="AV25" s="11">
        <f>Y25/776.02</f>
        <v>0.18675525942200569</v>
      </c>
      <c r="AW25" s="11">
        <f>Z25/639.8</f>
        <v>0.20148305925071544</v>
      </c>
      <c r="AX25" s="11">
        <f>AA25/804.19</f>
        <v>0.19395466028353928</v>
      </c>
      <c r="AY25" s="11">
        <f>AB25</f>
        <v>0.31259999999999999</v>
      </c>
      <c r="AZ25" s="11">
        <f>AC25</f>
        <v>0.29459999999999997</v>
      </c>
      <c r="BA25" s="11">
        <f>AD25</f>
        <v>0.32540000000000002</v>
      </c>
      <c r="BB25" s="10">
        <f>AVERAGE(AV25:BA25)*2</f>
        <v>0.5049309929854201</v>
      </c>
      <c r="BC25" s="10">
        <f>AVERAGE(AK25,AO25,AU25,BB25)</f>
        <v>0.60777911718527711</v>
      </c>
    </row>
    <row r="26" spans="1:55" x14ac:dyDescent="0.3">
      <c r="A26" s="2" t="s">
        <v>598</v>
      </c>
      <c r="B26" s="2" t="s">
        <v>201</v>
      </c>
      <c r="C26" s="2" t="s">
        <v>249</v>
      </c>
      <c r="D26" s="2" t="s">
        <v>249</v>
      </c>
      <c r="E26" s="2" t="s">
        <v>245</v>
      </c>
      <c r="F26" s="2" t="s">
        <v>249</v>
      </c>
      <c r="G26" s="2" t="s">
        <v>657</v>
      </c>
      <c r="H26" s="2" t="s">
        <v>884</v>
      </c>
      <c r="I26" s="2" t="s">
        <v>249</v>
      </c>
      <c r="J26" s="2">
        <v>1</v>
      </c>
      <c r="T26" s="2" t="s">
        <v>724</v>
      </c>
      <c r="U26" s="2" t="s">
        <v>722</v>
      </c>
      <c r="AE26" s="2" t="s">
        <v>761</v>
      </c>
      <c r="AF26" s="2">
        <v>16</v>
      </c>
      <c r="AG26" s="2">
        <v>8</v>
      </c>
      <c r="AH26" s="8">
        <v>0.59916153665056904</v>
      </c>
      <c r="AI26" s="8">
        <v>1</v>
      </c>
      <c r="AJ26" s="8">
        <v>0.18016200287597997</v>
      </c>
      <c r="AK26" s="8">
        <f>AVERAGE(AH26:AJ26)</f>
        <v>0.59310784650884962</v>
      </c>
      <c r="AP26" s="10">
        <v>1</v>
      </c>
      <c r="AQ26" s="10">
        <v>1</v>
      </c>
      <c r="AR26" s="10">
        <v>0.25</v>
      </c>
      <c r="AS26" s="10">
        <f>AF26/32</f>
        <v>0.5</v>
      </c>
      <c r="AT26" s="10">
        <f>AG26/28</f>
        <v>0.2857142857142857</v>
      </c>
      <c r="AU26" s="10">
        <f>AVERAGE(AP26:AT26)*2</f>
        <v>1.2142857142857142</v>
      </c>
    </row>
    <row r="27" spans="1:55" x14ac:dyDescent="0.3">
      <c r="A27" s="2" t="s">
        <v>355</v>
      </c>
      <c r="B27" s="2" t="s">
        <v>52</v>
      </c>
      <c r="C27" s="2" t="s">
        <v>57</v>
      </c>
      <c r="D27" s="2" t="s">
        <v>57</v>
      </c>
      <c r="E27" s="3" t="s">
        <v>823</v>
      </c>
      <c r="F27" s="3" t="s">
        <v>57</v>
      </c>
      <c r="G27" s="2" t="s">
        <v>653</v>
      </c>
      <c r="H27" s="2" t="s">
        <v>884</v>
      </c>
      <c r="I27" s="2" t="s">
        <v>57</v>
      </c>
      <c r="J27" s="2">
        <v>1</v>
      </c>
      <c r="K27" s="9">
        <v>0.7952311110725826</v>
      </c>
      <c r="L27" s="9">
        <v>1</v>
      </c>
      <c r="M27" s="9">
        <v>0.63350058896734196</v>
      </c>
      <c r="N27" s="4">
        <v>3612</v>
      </c>
      <c r="O27" s="6">
        <f>N27/493242</f>
        <v>7.3229773620251317E-3</v>
      </c>
      <c r="P27" s="4">
        <v>2937</v>
      </c>
      <c r="Q27" s="6">
        <f>P27/379845</f>
        <v>7.7321012518264025E-3</v>
      </c>
      <c r="R27" s="4">
        <v>10000</v>
      </c>
      <c r="S27" s="6">
        <f>R27/265586</f>
        <v>3.7652587109260276E-2</v>
      </c>
      <c r="T27" s="2" t="s">
        <v>721</v>
      </c>
      <c r="U27" s="2" t="s">
        <v>722</v>
      </c>
      <c r="V27" s="5">
        <v>13443549.439999999</v>
      </c>
      <c r="W27" s="5">
        <v>14644758.949999999</v>
      </c>
      <c r="X27" s="5">
        <v>15845968.449999999</v>
      </c>
      <c r="Y27" s="5">
        <f>V27/453914</f>
        <v>29.61695263860555</v>
      </c>
      <c r="Z27" s="5">
        <f>W27/453914</f>
        <v>32.263289852262758</v>
      </c>
      <c r="AA27" s="5">
        <f>X27/414586</f>
        <v>38.221185592374077</v>
      </c>
      <c r="AB27" s="6">
        <v>6.6500000000000004E-2</v>
      </c>
      <c r="AC27" s="6">
        <v>8.5099999999999995E-2</v>
      </c>
      <c r="AD27" s="6">
        <v>1</v>
      </c>
      <c r="AE27" s="2" t="s">
        <v>769</v>
      </c>
      <c r="AF27" s="2">
        <v>19</v>
      </c>
      <c r="AG27" s="2">
        <v>12</v>
      </c>
      <c r="AH27" s="8">
        <f>K27</f>
        <v>0.7952311110725826</v>
      </c>
      <c r="AI27" s="8">
        <f>L27</f>
        <v>1</v>
      </c>
      <c r="AJ27" s="8">
        <f>M27</f>
        <v>0.63350058896734196</v>
      </c>
      <c r="AK27" s="8">
        <f>AVERAGE(AH27:AJ27)</f>
        <v>0.80957723334664156</v>
      </c>
      <c r="AL27" s="11">
        <f>(O27/12.69)*100</f>
        <v>5.7706677399725237E-2</v>
      </c>
      <c r="AM27" s="11">
        <f>(Q27/9.99)*100</f>
        <v>7.7398410929193223E-2</v>
      </c>
      <c r="AN27" s="11">
        <f>(S27/12.69)*100</f>
        <v>0.29671069432041197</v>
      </c>
      <c r="AO27" s="11">
        <f>AVERAGE(AL27:AN27)</f>
        <v>0.14393859421644348</v>
      </c>
      <c r="AP27" s="10">
        <v>0.75</v>
      </c>
      <c r="AQ27" s="10">
        <v>1</v>
      </c>
      <c r="AR27" s="10">
        <v>0.25</v>
      </c>
      <c r="AS27" s="10">
        <f>AF27/32</f>
        <v>0.59375</v>
      </c>
      <c r="AT27" s="10">
        <f>AG27/28</f>
        <v>0.42857142857142855</v>
      </c>
      <c r="AU27" s="10">
        <f>AVERAGE(AP27:AT27)*2</f>
        <v>1.2089285714285714</v>
      </c>
      <c r="AV27" s="11">
        <f>Y27/776.02</f>
        <v>3.8165192441696798E-2</v>
      </c>
      <c r="AW27" s="11">
        <f>Z27/639.8</f>
        <v>5.0427148878184995E-2</v>
      </c>
      <c r="AX27" s="11">
        <f>AA27/804.19</f>
        <v>4.7527556413750574E-2</v>
      </c>
      <c r="AY27" s="11">
        <f>AB27</f>
        <v>6.6500000000000004E-2</v>
      </c>
      <c r="AZ27" s="11">
        <f>AC27</f>
        <v>8.5099999999999995E-2</v>
      </c>
      <c r="BA27" s="11">
        <f>AD27</f>
        <v>1</v>
      </c>
      <c r="BB27" s="10">
        <f>AVERAGE(AV27:BA27)*2</f>
        <v>0.42923996591121077</v>
      </c>
      <c r="BC27" s="10">
        <f>AVERAGE(AK27,AO27,AU27,BB27)</f>
        <v>0.64792109122571684</v>
      </c>
    </row>
    <row r="28" spans="1:55" x14ac:dyDescent="0.3">
      <c r="A28" s="2" t="s">
        <v>542</v>
      </c>
      <c r="B28" s="2" t="s">
        <v>201</v>
      </c>
      <c r="C28" s="2" t="s">
        <v>206</v>
      </c>
      <c r="D28" s="2" t="s">
        <v>206</v>
      </c>
      <c r="E28" s="2" t="s">
        <v>809</v>
      </c>
      <c r="F28" s="2" t="s">
        <v>206</v>
      </c>
      <c r="G28" s="2" t="s">
        <v>651</v>
      </c>
      <c r="H28" s="2" t="s">
        <v>886</v>
      </c>
      <c r="I28" s="2" t="s">
        <v>241</v>
      </c>
      <c r="J28" s="2">
        <v>2</v>
      </c>
      <c r="K28" s="9">
        <v>0.47693297644939192</v>
      </c>
      <c r="L28" s="9">
        <v>1</v>
      </c>
      <c r="M28" s="9">
        <v>0.25785630580171104</v>
      </c>
      <c r="N28" s="4">
        <v>8884</v>
      </c>
      <c r="O28" s="6">
        <f>N28/250304</f>
        <v>3.549284070570187E-2</v>
      </c>
      <c r="P28" s="4">
        <v>3370</v>
      </c>
      <c r="Q28" s="6">
        <f>P28/216388</f>
        <v>1.5573876555076992E-2</v>
      </c>
      <c r="R28" s="4">
        <v>8884</v>
      </c>
      <c r="S28" s="6">
        <v>3.549284070570187E-2</v>
      </c>
      <c r="T28" s="2" t="s">
        <v>724</v>
      </c>
      <c r="U28" s="2" t="s">
        <v>722</v>
      </c>
      <c r="V28" s="5">
        <v>30000000</v>
      </c>
      <c r="W28" s="5">
        <v>43090360</v>
      </c>
      <c r="X28" s="5">
        <v>60810058</v>
      </c>
      <c r="Y28" s="5">
        <f>V28/250304</f>
        <v>119.85425722321656</v>
      </c>
      <c r="Z28" s="5">
        <f>W28/216338</f>
        <v>199.18072645582376</v>
      </c>
      <c r="AA28" s="5">
        <f>X28/229483</f>
        <v>264.98720166635439</v>
      </c>
      <c r="AB28" s="13"/>
      <c r="AC28" s="13"/>
      <c r="AD28" s="13"/>
      <c r="AE28" s="2" t="s">
        <v>763</v>
      </c>
      <c r="AF28" s="2">
        <v>14</v>
      </c>
      <c r="AG28" s="2">
        <v>8</v>
      </c>
      <c r="AH28" s="8">
        <f>K28</f>
        <v>0.47693297644939192</v>
      </c>
      <c r="AI28" s="8">
        <f>L28</f>
        <v>1</v>
      </c>
      <c r="AJ28" s="8">
        <f>M28</f>
        <v>0.25785630580171104</v>
      </c>
      <c r="AK28" s="8">
        <f>AVERAGE(AH28:AJ28)</f>
        <v>0.57826309408370102</v>
      </c>
      <c r="AL28" s="11">
        <f>(O28/12.69)*100</f>
        <v>0.27969141612058213</v>
      </c>
      <c r="AM28" s="11">
        <f>(Q28/9.99)*100</f>
        <v>0.15589466021098089</v>
      </c>
      <c r="AN28" s="11">
        <f>(S28/12.69)*100</f>
        <v>0.27969141612058213</v>
      </c>
      <c r="AO28" s="11">
        <f>AVERAGE(AL28:AN28)</f>
        <v>0.2384258308173817</v>
      </c>
      <c r="AP28" s="10">
        <v>1</v>
      </c>
      <c r="AQ28" s="10">
        <v>1</v>
      </c>
      <c r="AR28" s="10">
        <v>0.25</v>
      </c>
      <c r="AS28" s="10">
        <f>AF28/32</f>
        <v>0.4375</v>
      </c>
      <c r="AT28" s="10">
        <f>AG28/28</f>
        <v>0.2857142857142857</v>
      </c>
      <c r="AU28" s="10">
        <f>AVERAGE(AP28:AT28)*2</f>
        <v>1.1892857142857143</v>
      </c>
      <c r="AV28" s="11">
        <f>Y28/776.02</f>
        <v>0.1544473817984286</v>
      </c>
      <c r="AW28" s="11">
        <f>Z28/639.8</f>
        <v>0.31131717170338197</v>
      </c>
      <c r="AX28" s="11">
        <f>AA28/804.19</f>
        <v>0.32950820287040922</v>
      </c>
      <c r="AY28" s="11">
        <v>0.38200000000000001</v>
      </c>
      <c r="AZ28" s="10">
        <v>0.54</v>
      </c>
      <c r="BA28" s="10">
        <v>0.83699999999999997</v>
      </c>
      <c r="BB28" s="10">
        <f>AVERAGE(AV28:BA28)*2</f>
        <v>0.85142425212407336</v>
      </c>
      <c r="BC28" s="10">
        <f>AVERAGE(AK28,AO28,AU28,BB28)</f>
        <v>0.71434972282771758</v>
      </c>
    </row>
    <row r="29" spans="1:55" x14ac:dyDescent="0.3">
      <c r="A29" s="2" t="s">
        <v>556</v>
      </c>
      <c r="B29" s="2" t="s">
        <v>201</v>
      </c>
      <c r="C29" s="2" t="s">
        <v>248</v>
      </c>
      <c r="D29" s="2" t="s">
        <v>632</v>
      </c>
      <c r="E29" s="2" t="s">
        <v>806</v>
      </c>
      <c r="F29" s="2" t="s">
        <v>632</v>
      </c>
      <c r="G29" s="2" t="s">
        <v>655</v>
      </c>
      <c r="H29" s="2" t="s">
        <v>888</v>
      </c>
      <c r="I29" s="2" t="s">
        <v>248</v>
      </c>
      <c r="J29" s="2">
        <v>3</v>
      </c>
      <c r="K29" s="9">
        <v>0.84927894522215941</v>
      </c>
      <c r="L29" s="9">
        <v>0.90592875872768142</v>
      </c>
      <c r="M29" s="9">
        <v>0.66546083350957697</v>
      </c>
      <c r="N29" s="4">
        <v>314</v>
      </c>
      <c r="O29" s="6">
        <f>N29/132558</f>
        <v>2.3687744232713226E-3</v>
      </c>
      <c r="P29" s="4">
        <v>1487</v>
      </c>
      <c r="Q29" s="6">
        <f>P29/132558</f>
        <v>1.1217731106383621E-2</v>
      </c>
      <c r="R29" s="4">
        <v>4201</v>
      </c>
      <c r="S29" s="6">
        <f>R29/116699</f>
        <v>3.5998594675190017E-2</v>
      </c>
      <c r="T29" s="2" t="s">
        <v>721</v>
      </c>
      <c r="U29" s="2" t="s">
        <v>722</v>
      </c>
      <c r="V29" s="5">
        <v>24389481.559999999</v>
      </c>
      <c r="W29" s="5">
        <v>32641380.059999999</v>
      </c>
      <c r="X29" s="5">
        <v>43297176.719999999</v>
      </c>
      <c r="Y29" s="5">
        <f>V29/132558</f>
        <v>183.99101947826611</v>
      </c>
      <c r="Z29" s="5">
        <f>W29/132558</f>
        <v>246.24224912868328</v>
      </c>
      <c r="AA29" s="5">
        <f>X29/132558</f>
        <v>326.62816819807176</v>
      </c>
      <c r="AB29" s="6">
        <v>0.02</v>
      </c>
      <c r="AC29" s="6">
        <v>2.8000000000000001E-2</v>
      </c>
      <c r="AD29" s="6">
        <v>0.04</v>
      </c>
      <c r="AE29" s="2" t="s">
        <v>755</v>
      </c>
      <c r="AF29" s="2">
        <v>7</v>
      </c>
      <c r="AG29" s="2">
        <v>7</v>
      </c>
      <c r="AH29" s="8">
        <f>K29</f>
        <v>0.84927894522215941</v>
      </c>
      <c r="AI29" s="8">
        <f>L29</f>
        <v>0.90592875872768142</v>
      </c>
      <c r="AJ29" s="8">
        <f>M29</f>
        <v>0.66546083350957697</v>
      </c>
      <c r="AK29" s="8">
        <f>AVERAGE(AH29:AJ29)</f>
        <v>0.80688951248647267</v>
      </c>
      <c r="AL29" s="11">
        <f>(O29/12.69)*100</f>
        <v>1.8666465116401285E-2</v>
      </c>
      <c r="AM29" s="11">
        <f>(Q29/9.99)*100</f>
        <v>0.11228960066450069</v>
      </c>
      <c r="AN29" s="11">
        <f>(S29/12.69)*100</f>
        <v>0.28367686899282918</v>
      </c>
      <c r="AO29" s="11">
        <f>AVERAGE(AL29:AN29)</f>
        <v>0.13821097825791037</v>
      </c>
      <c r="AP29" s="10">
        <v>0.75</v>
      </c>
      <c r="AQ29" s="10">
        <v>1</v>
      </c>
      <c r="AR29" s="10">
        <v>0.75</v>
      </c>
      <c r="AS29" s="10">
        <f>AF29/32</f>
        <v>0.21875</v>
      </c>
      <c r="AT29" s="10">
        <f>AG29/28</f>
        <v>0.25</v>
      </c>
      <c r="AU29" s="10">
        <f>AVERAGE(AP29:AT29)*2</f>
        <v>1.1875</v>
      </c>
      <c r="AV29" s="11">
        <f>Y29/776.02</f>
        <v>0.23709571851017514</v>
      </c>
      <c r="AW29" s="11">
        <f>Z29/639.8</f>
        <v>0.38487378732210581</v>
      </c>
      <c r="AX29" s="11">
        <f>AA29/804.19</f>
        <v>0.40615795794286391</v>
      </c>
      <c r="AY29" s="11">
        <f>AB29</f>
        <v>0.02</v>
      </c>
      <c r="AZ29" s="11">
        <f>AC29</f>
        <v>2.8000000000000001E-2</v>
      </c>
      <c r="BA29" s="11">
        <f>AD29</f>
        <v>0.04</v>
      </c>
      <c r="BB29" s="10">
        <f>AVERAGE(AV29:BA29)*2</f>
        <v>0.37204248792504835</v>
      </c>
      <c r="BC29" s="10">
        <f>AVERAGE(AK29,AO29,AU29,BB29)</f>
        <v>0.62616074466735783</v>
      </c>
    </row>
    <row r="30" spans="1:55" x14ac:dyDescent="0.3">
      <c r="A30" s="2" t="s">
        <v>406</v>
      </c>
      <c r="B30" s="2" t="s">
        <v>70</v>
      </c>
      <c r="C30" s="2" t="s">
        <v>97</v>
      </c>
      <c r="D30" s="2" t="s">
        <v>97</v>
      </c>
      <c r="E30" s="3" t="s">
        <v>97</v>
      </c>
      <c r="F30" s="3" t="s">
        <v>662</v>
      </c>
      <c r="G30" s="2" t="s">
        <v>651</v>
      </c>
      <c r="H30" s="2" t="s">
        <v>886</v>
      </c>
      <c r="I30" s="2" t="s">
        <v>74</v>
      </c>
      <c r="J30" s="2">
        <v>3</v>
      </c>
      <c r="K30" s="9">
        <v>0.41162694961104762</v>
      </c>
      <c r="L30" s="9">
        <v>0.45478153144978756</v>
      </c>
      <c r="M30" s="9">
        <v>0.19619655925955287</v>
      </c>
      <c r="N30" s="4">
        <v>200</v>
      </c>
      <c r="O30" s="6">
        <f>N30/142030</f>
        <v>1.4081532070689292E-3</v>
      </c>
      <c r="P30" s="4">
        <f>(200+250+250+100)/4</f>
        <v>200</v>
      </c>
      <c r="Q30" s="6">
        <f>O30</f>
        <v>1.4081532070689292E-3</v>
      </c>
      <c r="R30" s="4">
        <v>200</v>
      </c>
      <c r="S30" s="6">
        <v>1.4081532070689292E-3</v>
      </c>
      <c r="T30" s="2" t="s">
        <v>724</v>
      </c>
      <c r="U30" s="2" t="s">
        <v>722</v>
      </c>
      <c r="V30" s="5" t="s">
        <v>662</v>
      </c>
      <c r="W30" s="5" t="s">
        <v>662</v>
      </c>
      <c r="Y30" s="5" t="s">
        <v>662</v>
      </c>
      <c r="Z30" s="5" t="s">
        <v>662</v>
      </c>
      <c r="AB30" s="5" t="s">
        <v>662</v>
      </c>
      <c r="AC30" s="5" t="s">
        <v>662</v>
      </c>
      <c r="AE30" s="2" t="s">
        <v>774</v>
      </c>
      <c r="AF30" s="2">
        <v>12</v>
      </c>
      <c r="AG30" s="2">
        <v>8</v>
      </c>
      <c r="AH30" s="8">
        <f>K30</f>
        <v>0.41162694961104762</v>
      </c>
      <c r="AI30" s="8">
        <f>L30</f>
        <v>0.45478153144978756</v>
      </c>
      <c r="AJ30" s="8">
        <f>M30</f>
        <v>0.19619655925955287</v>
      </c>
      <c r="AK30" s="8">
        <f>AVERAGE(AH30:AJ30)</f>
        <v>0.35420168010679604</v>
      </c>
      <c r="AL30" s="11">
        <f>(O30/12.69)*100</f>
        <v>1.1096557975326472E-2</v>
      </c>
      <c r="AM30" s="11">
        <f>(Q30/9.99)*100</f>
        <v>1.4095627698387677E-2</v>
      </c>
      <c r="AN30" s="11">
        <f>(S30/12.69)*100</f>
        <v>1.1096557975326472E-2</v>
      </c>
      <c r="AO30" s="11">
        <f>AVERAGE(AL30:AN30)</f>
        <v>1.2096247883013542E-2</v>
      </c>
      <c r="AP30" s="10">
        <v>1</v>
      </c>
      <c r="AQ30" s="10">
        <v>1</v>
      </c>
      <c r="AR30" s="10">
        <v>0.25</v>
      </c>
      <c r="AS30" s="10">
        <f>AF30/32</f>
        <v>0.375</v>
      </c>
      <c r="AT30" s="10">
        <f>AG30/28</f>
        <v>0.2857142857142857</v>
      </c>
      <c r="AU30" s="10">
        <f>AVERAGE(AP30:AT30)*2</f>
        <v>1.1642857142857141</v>
      </c>
    </row>
    <row r="31" spans="1:55" x14ac:dyDescent="0.3">
      <c r="A31" s="2" t="s">
        <v>382</v>
      </c>
      <c r="B31" s="2" t="s">
        <v>70</v>
      </c>
      <c r="C31" s="2" t="s">
        <v>77</v>
      </c>
      <c r="D31" s="2" t="s">
        <v>77</v>
      </c>
      <c r="E31" s="3" t="s">
        <v>77</v>
      </c>
      <c r="F31" s="3" t="s">
        <v>662</v>
      </c>
      <c r="G31" s="2" t="s">
        <v>651</v>
      </c>
      <c r="H31" s="2" t="s">
        <v>886</v>
      </c>
      <c r="I31" s="2" t="s">
        <v>74</v>
      </c>
      <c r="J31" s="2">
        <v>2</v>
      </c>
      <c r="K31" s="9">
        <v>0.60600060112017962</v>
      </c>
      <c r="L31" s="9">
        <v>1</v>
      </c>
      <c r="M31" s="9">
        <v>0.30709586742589107</v>
      </c>
      <c r="N31" s="4">
        <v>1689</v>
      </c>
      <c r="O31" s="6">
        <f>N31/248581</f>
        <v>6.7945659563683472E-3</v>
      </c>
      <c r="P31" s="4">
        <v>978</v>
      </c>
      <c r="Q31" s="6">
        <f>P31/230799</f>
        <v>4.2374533685154616E-3</v>
      </c>
      <c r="R31" s="4">
        <v>1689</v>
      </c>
      <c r="S31" s="6">
        <v>6.7945659563683472E-3</v>
      </c>
      <c r="T31" s="2" t="s">
        <v>724</v>
      </c>
      <c r="U31" s="2" t="s">
        <v>722</v>
      </c>
      <c r="V31" s="5">
        <v>1000000</v>
      </c>
      <c r="W31" s="5">
        <v>1000000</v>
      </c>
      <c r="X31" s="5">
        <v>1000000</v>
      </c>
      <c r="Y31" s="5">
        <v>4.0199999999999996</v>
      </c>
      <c r="Z31" s="5">
        <v>4.0199999999999996</v>
      </c>
      <c r="AA31" s="5">
        <v>4.0199999999999996</v>
      </c>
      <c r="AE31" s="2" t="s">
        <v>778</v>
      </c>
      <c r="AF31" s="2">
        <v>11</v>
      </c>
      <c r="AG31" s="2">
        <v>8</v>
      </c>
      <c r="AH31" s="8">
        <f>K31</f>
        <v>0.60600060112017962</v>
      </c>
      <c r="AI31" s="8">
        <f>L31</f>
        <v>1</v>
      </c>
      <c r="AJ31" s="8">
        <f>M31</f>
        <v>0.30709586742589107</v>
      </c>
      <c r="AK31" s="8">
        <f>AVERAGE(AH31:AJ31)</f>
        <v>0.63769882284869028</v>
      </c>
      <c r="AL31" s="11">
        <f>(O31/12.69)*100</f>
        <v>5.3542678931192654E-2</v>
      </c>
      <c r="AM31" s="11">
        <f>(Q31/9.99)*100</f>
        <v>4.2416950635790408E-2</v>
      </c>
      <c r="AN31" s="11">
        <f>(S31/12.69)*100</f>
        <v>5.3542678931192654E-2</v>
      </c>
      <c r="AO31" s="11">
        <f>AVERAGE(AL31:AN31)</f>
        <v>4.9834102832725241E-2</v>
      </c>
      <c r="AP31" s="10">
        <v>1</v>
      </c>
      <c r="AQ31" s="10">
        <v>1</v>
      </c>
      <c r="AR31" s="10">
        <v>0.25</v>
      </c>
      <c r="AS31" s="10">
        <f>AF31/32</f>
        <v>0.34375</v>
      </c>
      <c r="AT31" s="10">
        <f>AG31/28</f>
        <v>0.2857142857142857</v>
      </c>
      <c r="AU31" s="10">
        <f>AVERAGE(AP31:AT31)*2</f>
        <v>1.1517857142857142</v>
      </c>
      <c r="AV31" s="11">
        <f>Y31/776.02</f>
        <v>5.1802788587922985E-3</v>
      </c>
      <c r="AW31" s="11">
        <f>Z31/639.8</f>
        <v>6.2832135042200686E-3</v>
      </c>
      <c r="AX31" s="11">
        <f>AA31/804.19</f>
        <v>4.9988186871261758E-3</v>
      </c>
      <c r="AY31" s="11"/>
    </row>
    <row r="32" spans="1:55" x14ac:dyDescent="0.3">
      <c r="A32" s="2" t="s">
        <v>603</v>
      </c>
      <c r="B32" s="2" t="s">
        <v>201</v>
      </c>
      <c r="C32" s="2" t="s">
        <v>249</v>
      </c>
      <c r="D32" s="2" t="s">
        <v>249</v>
      </c>
      <c r="E32" s="2" t="s">
        <v>817</v>
      </c>
      <c r="F32" s="2" t="s">
        <v>249</v>
      </c>
      <c r="G32" s="2" t="s">
        <v>657</v>
      </c>
      <c r="H32" s="2" t="s">
        <v>887</v>
      </c>
      <c r="I32" s="2" t="s">
        <v>249</v>
      </c>
      <c r="J32" s="2">
        <v>1</v>
      </c>
      <c r="K32" s="9">
        <v>0.78117643291956773</v>
      </c>
      <c r="L32" s="9">
        <v>1</v>
      </c>
      <c r="M32" s="9">
        <v>0.44290703597973735</v>
      </c>
      <c r="N32" s="4">
        <v>15328</v>
      </c>
      <c r="O32" s="6">
        <f>N32/12200180</f>
        <v>1.2563749059440106E-3</v>
      </c>
      <c r="P32" s="4">
        <v>30790</v>
      </c>
      <c r="Q32" s="6">
        <f>P32/11317863</f>
        <v>2.7204782386922336E-3</v>
      </c>
      <c r="R32" s="4">
        <v>55000</v>
      </c>
      <c r="S32" s="6">
        <f>R32/10435546</f>
        <v>5.2704477561595726E-3</v>
      </c>
      <c r="T32" s="2" t="s">
        <v>721</v>
      </c>
      <c r="U32" s="2" t="s">
        <v>722</v>
      </c>
      <c r="V32" s="5">
        <v>320000000</v>
      </c>
      <c r="W32" s="5">
        <v>1876080403.3</v>
      </c>
      <c r="X32" s="5">
        <v>2824268754</v>
      </c>
      <c r="Y32" s="5">
        <f>V32/12200180</f>
        <v>26.229121209687069</v>
      </c>
      <c r="Z32" s="5">
        <f>W32/11317863</f>
        <v>165.76277723983759</v>
      </c>
      <c r="AA32" s="5">
        <f>X32/10435546</f>
        <v>270.63928940565256</v>
      </c>
      <c r="AB32" s="6">
        <f>V32/8278172925.81</f>
        <v>3.8655872843908819E-2</v>
      </c>
      <c r="AC32" s="6">
        <v>5.2900000000000003E-2</v>
      </c>
      <c r="AD32" s="6">
        <v>0.06</v>
      </c>
      <c r="AE32" s="2" t="s">
        <v>738</v>
      </c>
      <c r="AF32" s="2">
        <v>7</v>
      </c>
      <c r="AG32" s="2">
        <v>4</v>
      </c>
      <c r="AH32" s="8">
        <f>K32</f>
        <v>0.78117643291956773</v>
      </c>
      <c r="AI32" s="8">
        <f>L32</f>
        <v>1</v>
      </c>
      <c r="AJ32" s="8">
        <f>M32</f>
        <v>0.44290703597973735</v>
      </c>
      <c r="AK32" s="8">
        <f>AVERAGE(AH32:AJ32)</f>
        <v>0.74136115629976829</v>
      </c>
      <c r="AL32" s="11">
        <f>(O32/12.69)*100</f>
        <v>9.9005114731600518E-3</v>
      </c>
      <c r="AM32" s="11">
        <f>(Q32/9.99)*100</f>
        <v>2.7232014401323661E-2</v>
      </c>
      <c r="AN32" s="11">
        <f>(S32/12.69)*100</f>
        <v>4.153229122269167E-2</v>
      </c>
      <c r="AO32" s="11">
        <f>AVERAGE(AL32:AN32)</f>
        <v>2.6221605699058459E-2</v>
      </c>
      <c r="AP32" s="10">
        <v>0.75</v>
      </c>
      <c r="AQ32" s="10">
        <v>1</v>
      </c>
      <c r="AR32" s="10">
        <v>0.75</v>
      </c>
      <c r="AS32" s="10">
        <f>AF32/32</f>
        <v>0.21875</v>
      </c>
      <c r="AT32" s="10">
        <f>AG32/28</f>
        <v>0.14285714285714285</v>
      </c>
      <c r="AU32" s="10">
        <f>AVERAGE(AP32:AT32)*2</f>
        <v>1.1446428571428571</v>
      </c>
      <c r="AV32" s="11">
        <f>Y32/776.02</f>
        <v>3.3799542807771796E-2</v>
      </c>
      <c r="AW32" s="11">
        <f>Z32/639.8</f>
        <v>0.25908530359461956</v>
      </c>
      <c r="AX32" s="11">
        <f>AA32/804.19</f>
        <v>0.33653650182873768</v>
      </c>
      <c r="AY32" s="11">
        <f>AB32</f>
        <v>3.8655872843908819E-2</v>
      </c>
      <c r="AZ32" s="11">
        <f>AC32</f>
        <v>5.2900000000000003E-2</v>
      </c>
      <c r="BA32" s="11">
        <f>AD32</f>
        <v>0.06</v>
      </c>
      <c r="BB32" s="10">
        <f>AVERAGE(AV32:BA32)*2</f>
        <v>0.26032574035834594</v>
      </c>
      <c r="BC32" s="10">
        <f>AVERAGE(AK32,AO32,AU32,BB32)</f>
        <v>0.54313783987500741</v>
      </c>
    </row>
    <row r="33" spans="1:55" x14ac:dyDescent="0.3">
      <c r="A33" s="2" t="s">
        <v>336</v>
      </c>
      <c r="B33" s="2" t="s">
        <v>27</v>
      </c>
      <c r="C33" s="2" t="s">
        <v>40</v>
      </c>
      <c r="D33" s="2" t="s">
        <v>40</v>
      </c>
      <c r="E33" s="3" t="s">
        <v>819</v>
      </c>
      <c r="F33" s="3" t="s">
        <v>662</v>
      </c>
      <c r="G33" s="2" t="s">
        <v>656</v>
      </c>
      <c r="H33" s="2" t="s">
        <v>886</v>
      </c>
      <c r="I33" s="2" t="s">
        <v>36</v>
      </c>
      <c r="J33" s="2">
        <v>2</v>
      </c>
      <c r="K33" s="9">
        <v>0.64545860098460084</v>
      </c>
      <c r="L33" s="9">
        <v>0.93735048146046684</v>
      </c>
      <c r="M33" s="9">
        <v>0.53723016970369541</v>
      </c>
      <c r="N33" s="4">
        <v>3780</v>
      </c>
      <c r="O33" s="6">
        <f>N33/347195</f>
        <v>1.0887253560679157E-2</v>
      </c>
      <c r="P33" s="4">
        <v>3210</v>
      </c>
      <c r="Q33" s="6">
        <f>P33/318961</f>
        <v>1.0063926310740184E-2</v>
      </c>
      <c r="R33" s="4">
        <v>4768</v>
      </c>
      <c r="S33" s="6">
        <f>R33/262494</f>
        <v>1.8164224706088521E-2</v>
      </c>
      <c r="T33" s="2" t="s">
        <v>724</v>
      </c>
      <c r="U33" s="2" t="s">
        <v>725</v>
      </c>
      <c r="V33" s="5">
        <v>6826027.2000000002</v>
      </c>
      <c r="W33" s="5">
        <v>7950872.9100000001</v>
      </c>
      <c r="X33" s="5">
        <v>10659589</v>
      </c>
      <c r="Y33" s="5">
        <f>V33/262494</f>
        <v>26.004507531600723</v>
      </c>
      <c r="Z33" s="5">
        <f>W33/262494</f>
        <v>30.289731993874145</v>
      </c>
      <c r="AA33" s="5">
        <f>X33/262494</f>
        <v>40.60888629835349</v>
      </c>
      <c r="AE33" s="2" t="s">
        <v>709</v>
      </c>
      <c r="AF33" s="2">
        <v>24</v>
      </c>
      <c r="AG33" s="2">
        <v>24</v>
      </c>
      <c r="AH33" s="8">
        <f>K33</f>
        <v>0.64545860098460084</v>
      </c>
      <c r="AI33" s="8">
        <f>L33</f>
        <v>0.93735048146046684</v>
      </c>
      <c r="AJ33" s="8">
        <f>M33</f>
        <v>0.53723016970369541</v>
      </c>
      <c r="AK33" s="8">
        <f>AVERAGE(AH33:AJ33)</f>
        <v>0.70667975071625444</v>
      </c>
      <c r="AL33" s="11">
        <f>(O33/12.69)*100</f>
        <v>8.5793960289039864E-2</v>
      </c>
      <c r="AM33" s="11">
        <f>(Q33/9.99)*100</f>
        <v>0.10074000311051236</v>
      </c>
      <c r="AN33" s="11">
        <f>(S33/12.69)*100</f>
        <v>0.14313809855073695</v>
      </c>
      <c r="AO33" s="11">
        <f>AVERAGE(AL33:AN33)</f>
        <v>0.10989068731676306</v>
      </c>
      <c r="AP33" s="10">
        <v>1</v>
      </c>
      <c r="AQ33" s="10">
        <v>0</v>
      </c>
      <c r="AR33" s="10">
        <v>0.25</v>
      </c>
      <c r="AS33" s="10">
        <f>AF33/32</f>
        <v>0.75</v>
      </c>
      <c r="AT33" s="10">
        <f>AG33/28</f>
        <v>0.8571428571428571</v>
      </c>
      <c r="AU33" s="10">
        <f>AVERAGE(AP33:AT33)*2</f>
        <v>1.1428571428571428</v>
      </c>
      <c r="AV33" s="11">
        <f>Y33/776.02</f>
        <v>3.3510099651556303E-2</v>
      </c>
      <c r="AW33" s="11">
        <f>Z33/639.8</f>
        <v>4.734250077191958E-2</v>
      </c>
      <c r="AX33" s="11">
        <f>AA33/804.19</f>
        <v>5.0496631764077503E-2</v>
      </c>
      <c r="AY33" s="11"/>
    </row>
    <row r="34" spans="1:55" x14ac:dyDescent="0.3">
      <c r="A34" s="2" t="s">
        <v>469</v>
      </c>
      <c r="B34" s="2" t="s">
        <v>146</v>
      </c>
      <c r="C34" s="2" t="s">
        <v>153</v>
      </c>
      <c r="D34" s="2" t="s">
        <v>153</v>
      </c>
      <c r="E34" s="2" t="s">
        <v>153</v>
      </c>
      <c r="F34" s="2" t="s">
        <v>153</v>
      </c>
      <c r="G34" s="2" t="s">
        <v>651</v>
      </c>
      <c r="H34" s="2" t="s">
        <v>886</v>
      </c>
      <c r="I34" s="2" t="s">
        <v>155</v>
      </c>
      <c r="J34" s="2">
        <v>2</v>
      </c>
      <c r="K34" s="9">
        <v>0.58596197581781273</v>
      </c>
      <c r="L34" s="9">
        <v>1</v>
      </c>
      <c r="M34" s="9">
        <v>0.17891580300894042</v>
      </c>
      <c r="N34" s="4">
        <v>25717</v>
      </c>
      <c r="O34" s="6">
        <f>N34/286537</f>
        <v>8.9751061817496522E-2</v>
      </c>
      <c r="P34" s="4">
        <f>(25717+4119+2277)/3</f>
        <v>10704.333333333334</v>
      </c>
      <c r="Q34" s="6">
        <f>P34/286537</f>
        <v>3.735759547050934E-2</v>
      </c>
      <c r="R34" s="4">
        <v>25717</v>
      </c>
      <c r="S34" s="6">
        <f>O34</f>
        <v>8.9751061817496522E-2</v>
      </c>
      <c r="T34" s="2" t="s">
        <v>724</v>
      </c>
      <c r="U34" s="2" t="s">
        <v>722</v>
      </c>
      <c r="V34" s="5">
        <v>2000000</v>
      </c>
      <c r="W34" s="5">
        <v>10375699</v>
      </c>
      <c r="X34" s="5">
        <v>15492551.699999999</v>
      </c>
      <c r="Y34" s="5">
        <f>V34/304758</f>
        <v>6.5625840831085647</v>
      </c>
      <c r="Z34" s="5">
        <f>W34/286537</f>
        <v>36.210677853121936</v>
      </c>
      <c r="AA34" s="5">
        <f>X34/286537</f>
        <v>54.068241448748324</v>
      </c>
      <c r="AB34" s="6">
        <v>2.2499999999999999E-2</v>
      </c>
      <c r="AC34" s="6">
        <v>6.4500000000000002E-2</v>
      </c>
      <c r="AD34" s="6">
        <v>0.1</v>
      </c>
      <c r="AE34" s="2" t="s">
        <v>785</v>
      </c>
      <c r="AF34" s="2">
        <v>10</v>
      </c>
      <c r="AG34" s="2">
        <v>8</v>
      </c>
      <c r="AH34" s="8">
        <f>K34</f>
        <v>0.58596197581781273</v>
      </c>
      <c r="AI34" s="8">
        <f>L34</f>
        <v>1</v>
      </c>
      <c r="AJ34" s="8">
        <f>M34</f>
        <v>0.17891580300894042</v>
      </c>
      <c r="AK34" s="8">
        <f>AVERAGE(AH34:AJ34)</f>
        <v>0.588292592942251</v>
      </c>
      <c r="AL34" s="11">
        <f>(O34/12.69)*100</f>
        <v>0.70725817035064242</v>
      </c>
      <c r="AM34" s="11">
        <f>(Q34/9.99)*100</f>
        <v>0.37394990460970312</v>
      </c>
      <c r="AN34" s="11">
        <f>(S34/12.69)*100</f>
        <v>0.70725817035064242</v>
      </c>
      <c r="AO34" s="11">
        <f>AVERAGE(AL34:AN34)</f>
        <v>0.59615541510366266</v>
      </c>
      <c r="AP34" s="10">
        <v>1</v>
      </c>
      <c r="AQ34" s="10">
        <v>1</v>
      </c>
      <c r="AR34" s="10">
        <v>0.25</v>
      </c>
      <c r="AS34" s="10">
        <f>AF34/32</f>
        <v>0.3125</v>
      </c>
      <c r="AT34" s="10">
        <f>AG34/28</f>
        <v>0.2857142857142857</v>
      </c>
      <c r="AU34" s="10">
        <f>AVERAGE(AP34:AT34)*2</f>
        <v>1.1392857142857142</v>
      </c>
      <c r="AV34" s="11">
        <f>Y34/776.02</f>
        <v>8.4567202947199369E-3</v>
      </c>
      <c r="AW34" s="11">
        <f>Z34/639.8</f>
        <v>5.6596870667586653E-2</v>
      </c>
      <c r="AX34" s="11">
        <f>AA34/804.19</f>
        <v>6.7233168093048065E-2</v>
      </c>
      <c r="AY34" s="11">
        <f>AB34</f>
        <v>2.2499999999999999E-2</v>
      </c>
      <c r="AZ34" s="11">
        <f>AC34</f>
        <v>6.4500000000000002E-2</v>
      </c>
      <c r="BA34" s="11">
        <f>AD34</f>
        <v>0.1</v>
      </c>
      <c r="BB34" s="10">
        <f>AVERAGE(AV34:BA34)*2</f>
        <v>0.10642891968511821</v>
      </c>
      <c r="BC34" s="10">
        <f>AVERAGE(AK34,AO34,AU34,BB34)</f>
        <v>0.60754066050418654</v>
      </c>
    </row>
    <row r="35" spans="1:55" x14ac:dyDescent="0.3">
      <c r="A35" s="2" t="s">
        <v>599</v>
      </c>
      <c r="B35" s="2" t="s">
        <v>201</v>
      </c>
      <c r="C35" s="2" t="s">
        <v>206</v>
      </c>
      <c r="D35" s="2" t="s">
        <v>246</v>
      </c>
      <c r="E35" s="2" t="s">
        <v>246</v>
      </c>
      <c r="F35" s="2" t="s">
        <v>246</v>
      </c>
      <c r="G35" s="2" t="s">
        <v>651</v>
      </c>
      <c r="H35" s="2" t="s">
        <v>886</v>
      </c>
      <c r="I35" s="2" t="s">
        <v>249</v>
      </c>
      <c r="J35" s="2">
        <v>2</v>
      </c>
      <c r="K35" s="9">
        <v>0.51938489621845874</v>
      </c>
      <c r="L35" s="9">
        <v>1</v>
      </c>
      <c r="M35" s="9">
        <v>0.29864446990946625</v>
      </c>
      <c r="N35" s="4">
        <v>1592</v>
      </c>
      <c r="O35" s="6">
        <f>N35/239424</f>
        <v>6.6492916332531408E-3</v>
      </c>
      <c r="P35" s="4">
        <v>1592</v>
      </c>
      <c r="Q35" s="6">
        <f>O35</f>
        <v>6.6492916332531408E-3</v>
      </c>
      <c r="R35" s="4">
        <v>1592</v>
      </c>
      <c r="S35" s="6">
        <v>6.6492916332531408E-3</v>
      </c>
      <c r="T35" s="2" t="s">
        <v>724</v>
      </c>
      <c r="U35" s="2" t="s">
        <v>725</v>
      </c>
      <c r="V35" s="5">
        <v>27767273.329999998</v>
      </c>
      <c r="W35" s="5">
        <v>27767273.329999998</v>
      </c>
      <c r="X35" s="5">
        <v>27767273.329999998</v>
      </c>
      <c r="Y35" s="5">
        <f>V35/192998</f>
        <v>143.87337345464718</v>
      </c>
      <c r="Z35" s="5">
        <f>W35/192998</f>
        <v>143.87337345464718</v>
      </c>
      <c r="AA35" s="5">
        <f>X35/192998</f>
        <v>143.87337345464718</v>
      </c>
      <c r="AB35" s="6">
        <v>0.1032</v>
      </c>
      <c r="AC35" s="6">
        <v>0.1419</v>
      </c>
      <c r="AD35" s="6">
        <v>0.185</v>
      </c>
      <c r="AE35" s="2" t="s">
        <v>677</v>
      </c>
      <c r="AF35" s="2">
        <v>12</v>
      </c>
      <c r="AG35" s="2">
        <v>12</v>
      </c>
      <c r="AH35" s="8">
        <f>K35</f>
        <v>0.51938489621845874</v>
      </c>
      <c r="AI35" s="8">
        <f>L35</f>
        <v>1</v>
      </c>
      <c r="AJ35" s="8">
        <f>M35</f>
        <v>0.29864446990946625</v>
      </c>
      <c r="AK35" s="8">
        <f>AVERAGE(AH35:AJ35)</f>
        <v>0.60600978870930833</v>
      </c>
      <c r="AL35" s="11">
        <f>(O35/12.69)*100</f>
        <v>5.2397885210820651E-2</v>
      </c>
      <c r="AM35" s="11">
        <f>(Q35/9.99)*100</f>
        <v>6.6559475808339735E-2</v>
      </c>
      <c r="AN35" s="11">
        <f>(S35/12.69)*100</f>
        <v>5.2397885210820651E-2</v>
      </c>
      <c r="AO35" s="11">
        <f>AVERAGE(AL35:AN35)</f>
        <v>5.7118415409993677E-2</v>
      </c>
      <c r="AP35" s="10">
        <v>1</v>
      </c>
      <c r="AQ35" s="10">
        <v>0</v>
      </c>
      <c r="AR35" s="10">
        <v>1</v>
      </c>
      <c r="AS35" s="10">
        <f>AF35/32</f>
        <v>0.375</v>
      </c>
      <c r="AT35" s="10">
        <f>AG35/28</f>
        <v>0.42857142857142855</v>
      </c>
      <c r="AU35" s="10">
        <f>AVERAGE(AP35:AT35)*2</f>
        <v>1.1214285714285714</v>
      </c>
      <c r="AV35" s="11">
        <f>Y35/776.02</f>
        <v>0.18539905344533283</v>
      </c>
      <c r="AW35" s="11">
        <f>Z35/639.8</f>
        <v>0.22487241865371552</v>
      </c>
      <c r="AX35" s="11">
        <f>AA35/804.19</f>
        <v>0.178904703434073</v>
      </c>
      <c r="AY35" s="11">
        <f>AB35</f>
        <v>0.1032</v>
      </c>
      <c r="AZ35" s="11">
        <f>AC35</f>
        <v>0.1419</v>
      </c>
      <c r="BA35" s="11">
        <f>AD35</f>
        <v>0.185</v>
      </c>
      <c r="BB35" s="10">
        <f>AVERAGE(AV35:BA35)*2</f>
        <v>0.33975872517770705</v>
      </c>
      <c r="BC35" s="10">
        <f>AVERAGE(AK35,AO35,AU35,BB35)</f>
        <v>0.53107887518139507</v>
      </c>
    </row>
    <row r="36" spans="1:55" x14ac:dyDescent="0.3">
      <c r="A36" s="2" t="s">
        <v>445</v>
      </c>
      <c r="B36" s="2" t="s">
        <v>131</v>
      </c>
      <c r="C36" s="2" t="s">
        <v>136</v>
      </c>
      <c r="D36" s="2" t="s">
        <v>136</v>
      </c>
      <c r="E36" s="2" t="s">
        <v>136</v>
      </c>
      <c r="F36" s="2" t="s">
        <v>136</v>
      </c>
      <c r="G36" s="2" t="s">
        <v>653</v>
      </c>
      <c r="H36" s="2" t="s">
        <v>887</v>
      </c>
      <c r="I36" s="2" t="s">
        <v>136</v>
      </c>
      <c r="J36" s="2">
        <v>1</v>
      </c>
      <c r="K36" s="9">
        <v>0.66603128438893733</v>
      </c>
      <c r="L36" s="9">
        <v>1</v>
      </c>
      <c r="M36" s="9">
        <v>0.18735695529883592</v>
      </c>
      <c r="N36" s="4">
        <v>36957</v>
      </c>
      <c r="O36" s="6">
        <f>N36/1871789</f>
        <v>1.9744212622256035E-2</v>
      </c>
      <c r="P36" s="4">
        <v>21820</v>
      </c>
      <c r="Q36" s="6">
        <f>P36/1871789</f>
        <v>1.165729684275311E-2</v>
      </c>
      <c r="R36" s="4">
        <v>47267</v>
      </c>
      <c r="S36" s="6">
        <f>R36/1781789</f>
        <v>2.6527832420112595E-2</v>
      </c>
      <c r="T36" s="2" t="s">
        <v>721</v>
      </c>
      <c r="U36" s="2" t="s">
        <v>722</v>
      </c>
      <c r="V36" s="5" t="s">
        <v>662</v>
      </c>
      <c r="W36" s="5" t="s">
        <v>662</v>
      </c>
      <c r="Y36" s="5" t="s">
        <v>662</v>
      </c>
      <c r="Z36" s="5" t="s">
        <v>662</v>
      </c>
      <c r="AB36" s="5" t="s">
        <v>662</v>
      </c>
      <c r="AC36" s="5" t="s">
        <v>662</v>
      </c>
      <c r="AE36" s="2" t="s">
        <v>753</v>
      </c>
      <c r="AF36" s="2">
        <v>16</v>
      </c>
      <c r="AG36" s="2">
        <v>8</v>
      </c>
      <c r="AH36" s="8">
        <f>K36</f>
        <v>0.66603128438893733</v>
      </c>
      <c r="AI36" s="8">
        <f>L36</f>
        <v>1</v>
      </c>
      <c r="AJ36" s="8">
        <f>M36</f>
        <v>0.18735695529883592</v>
      </c>
      <c r="AK36" s="8">
        <f>AVERAGE(AH36:AJ36)</f>
        <v>0.61779607989592444</v>
      </c>
      <c r="AL36" s="11">
        <f>(O36/12.69)*100</f>
        <v>0.15558875194843211</v>
      </c>
      <c r="AM36" s="11">
        <f>(Q36/9.99)*100</f>
        <v>0.11668965808561671</v>
      </c>
      <c r="AN36" s="11">
        <f>(S36/12.69)*100</f>
        <v>0.20904517273532386</v>
      </c>
      <c r="AO36" s="11">
        <f>AVERAGE(AL36:AN36)</f>
        <v>0.16044119425645756</v>
      </c>
      <c r="AP36" s="10">
        <v>0.75</v>
      </c>
      <c r="AQ36" s="10">
        <v>1</v>
      </c>
      <c r="AR36" s="10">
        <v>0.25</v>
      </c>
      <c r="AS36" s="10">
        <f>AF36/32</f>
        <v>0.5</v>
      </c>
      <c r="AT36" s="10">
        <f>AG36/28</f>
        <v>0.2857142857142857</v>
      </c>
      <c r="AU36" s="10">
        <f>AVERAGE(AP36:AT36)*2</f>
        <v>1.1142857142857143</v>
      </c>
    </row>
    <row r="37" spans="1:55" x14ac:dyDescent="0.3">
      <c r="A37" s="2" t="s">
        <v>595</v>
      </c>
      <c r="B37" s="2" t="s">
        <v>201</v>
      </c>
      <c r="C37" s="2" t="s">
        <v>249</v>
      </c>
      <c r="D37" s="2" t="s">
        <v>249</v>
      </c>
      <c r="E37" s="2" t="s">
        <v>841</v>
      </c>
      <c r="F37" s="2" t="s">
        <v>665</v>
      </c>
      <c r="G37" s="2" t="s">
        <v>657</v>
      </c>
      <c r="H37" s="2" t="s">
        <v>884</v>
      </c>
      <c r="I37" s="2" t="s">
        <v>249</v>
      </c>
      <c r="J37" s="2">
        <v>1</v>
      </c>
      <c r="K37" s="9">
        <v>0.67075330762557783</v>
      </c>
      <c r="L37" s="9">
        <v>1</v>
      </c>
      <c r="M37" s="9">
        <v>0.39279448792463184</v>
      </c>
      <c r="N37" s="4">
        <v>10539</v>
      </c>
      <c r="O37" s="6">
        <f>N37/649331</f>
        <v>1.6230551136477391E-2</v>
      </c>
      <c r="P37" s="4">
        <v>9804</v>
      </c>
      <c r="Q37" s="6">
        <f>P37/649331</f>
        <v>1.5098616884146914E-2</v>
      </c>
      <c r="R37" s="4">
        <v>11151</v>
      </c>
      <c r="S37" s="6">
        <f>R37/649331</f>
        <v>1.7173059656785214E-2</v>
      </c>
      <c r="T37" s="2" t="s">
        <v>724</v>
      </c>
      <c r="U37" s="2" t="s">
        <v>725</v>
      </c>
      <c r="V37" s="5" t="s">
        <v>662</v>
      </c>
      <c r="W37" s="5" t="s">
        <v>662</v>
      </c>
      <c r="Y37" s="5" t="s">
        <v>662</v>
      </c>
      <c r="Z37" s="5" t="s">
        <v>662</v>
      </c>
      <c r="AB37" s="5" t="s">
        <v>662</v>
      </c>
      <c r="AC37" s="5" t="s">
        <v>662</v>
      </c>
      <c r="AE37" s="2" t="s">
        <v>771</v>
      </c>
      <c r="AF37" s="2">
        <v>16</v>
      </c>
      <c r="AG37" s="2">
        <v>12</v>
      </c>
      <c r="AH37" s="8">
        <f>K37</f>
        <v>0.67075330762557783</v>
      </c>
      <c r="AI37" s="8">
        <f>L37</f>
        <v>1</v>
      </c>
      <c r="AJ37" s="8">
        <f>M37</f>
        <v>0.39279448792463184</v>
      </c>
      <c r="AK37" s="8">
        <f>AVERAGE(AH37:AJ37)</f>
        <v>0.68784926518340317</v>
      </c>
      <c r="AL37" s="11">
        <f>(O37/12.69)*100</f>
        <v>0.12790032416451844</v>
      </c>
      <c r="AM37" s="11">
        <f>(Q37/9.99)*100</f>
        <v>0.15113730614761675</v>
      </c>
      <c r="AN37" s="11">
        <f>(S37/12.69)*100</f>
        <v>0.13532749926544693</v>
      </c>
      <c r="AO37" s="11">
        <f>AVERAGE(AL37:AN37)</f>
        <v>0.13812170985919403</v>
      </c>
      <c r="AP37" s="10">
        <v>1</v>
      </c>
      <c r="AQ37" s="10">
        <v>0</v>
      </c>
      <c r="AR37" s="10">
        <v>0.75</v>
      </c>
      <c r="AS37" s="10">
        <f>AF37/32</f>
        <v>0.5</v>
      </c>
      <c r="AT37" s="10">
        <f>AG37/28</f>
        <v>0.42857142857142855</v>
      </c>
      <c r="AU37" s="10">
        <f>AVERAGE(AP37:AT37)*2</f>
        <v>1.0714285714285714</v>
      </c>
    </row>
    <row r="38" spans="1:55" x14ac:dyDescent="0.3">
      <c r="A38" s="2" t="s">
        <v>544</v>
      </c>
      <c r="B38" s="2" t="s">
        <v>201</v>
      </c>
      <c r="C38" s="2" t="s">
        <v>215</v>
      </c>
      <c r="D38" s="2" t="s">
        <v>287</v>
      </c>
      <c r="E38" s="2" t="s">
        <v>808</v>
      </c>
      <c r="F38" s="2" t="s">
        <v>208</v>
      </c>
      <c r="G38" s="2" t="s">
        <v>655</v>
      </c>
      <c r="H38" s="2" t="s">
        <v>888</v>
      </c>
      <c r="I38" s="2" t="s">
        <v>249</v>
      </c>
      <c r="J38" s="2">
        <v>3</v>
      </c>
      <c r="K38" s="9">
        <v>0.78195534989540727</v>
      </c>
      <c r="L38" s="9">
        <v>1</v>
      </c>
      <c r="M38" s="9">
        <v>0.76363876464594616</v>
      </c>
      <c r="N38" s="4">
        <v>3661</v>
      </c>
      <c r="O38" s="6">
        <f>N38/126603</f>
        <v>2.8917166259883258E-2</v>
      </c>
      <c r="P38" s="4">
        <v>2723</v>
      </c>
      <c r="Q38" s="6">
        <f>P38/118952</f>
        <v>2.2891586522294706E-2</v>
      </c>
      <c r="R38" s="4">
        <v>3661</v>
      </c>
      <c r="S38" s="6">
        <v>2.8917166259883258E-2</v>
      </c>
      <c r="T38" s="2" t="s">
        <v>724</v>
      </c>
      <c r="U38" s="2" t="s">
        <v>725</v>
      </c>
      <c r="V38" s="5">
        <v>27296748.039999999</v>
      </c>
      <c r="W38" s="5">
        <v>21243834.32</v>
      </c>
      <c r="X38" s="5">
        <v>27296748.039999999</v>
      </c>
      <c r="Y38" s="5">
        <f>V38/126603</f>
        <v>215.60901432035575</v>
      </c>
      <c r="Z38" s="5">
        <f>W38/118951</f>
        <v>178.59315449218587</v>
      </c>
      <c r="AA38" s="5">
        <f>X38/126603</f>
        <v>215.60901432035575</v>
      </c>
      <c r="AB38" s="6">
        <v>0.51880000000000004</v>
      </c>
      <c r="AC38" s="6">
        <v>0.379</v>
      </c>
      <c r="AD38" s="6">
        <v>0.51880000000000004</v>
      </c>
      <c r="AE38" s="2" t="s">
        <v>677</v>
      </c>
      <c r="AF38" s="2">
        <v>10</v>
      </c>
      <c r="AG38" s="2">
        <v>10</v>
      </c>
      <c r="AH38" s="8">
        <f>K38</f>
        <v>0.78195534989540727</v>
      </c>
      <c r="AI38" s="8">
        <f>L38</f>
        <v>1</v>
      </c>
      <c r="AJ38" s="8">
        <f>M38</f>
        <v>0.76363876464594616</v>
      </c>
      <c r="AK38" s="8">
        <f>AVERAGE(AH38:AJ38)</f>
        <v>0.84853137151378455</v>
      </c>
      <c r="AL38" s="11">
        <f>(O38/12.69)*100</f>
        <v>0.22787365059009659</v>
      </c>
      <c r="AM38" s="11">
        <f>(Q38/9.99)*100</f>
        <v>0.22914501023318024</v>
      </c>
      <c r="AN38" s="11">
        <f>(S38/12.69)*100</f>
        <v>0.22787365059009659</v>
      </c>
      <c r="AO38" s="11">
        <f>AVERAGE(AL38:AN38)</f>
        <v>0.22829743713779113</v>
      </c>
      <c r="AP38" s="10">
        <v>1</v>
      </c>
      <c r="AQ38" s="10">
        <v>0</v>
      </c>
      <c r="AR38" s="10">
        <v>1</v>
      </c>
      <c r="AS38" s="10">
        <f>AF38/32</f>
        <v>0.3125</v>
      </c>
      <c r="AT38" s="10">
        <f>AG38/28</f>
        <v>0.35714285714285715</v>
      </c>
      <c r="AU38" s="10">
        <f>AVERAGE(AP38:AT38)*2</f>
        <v>1.0678571428571428</v>
      </c>
      <c r="AV38" s="11">
        <f>Y38/776.02</f>
        <v>0.27783950712656341</v>
      </c>
      <c r="AW38" s="11">
        <f>Z38/639.8</f>
        <v>0.27913903484242869</v>
      </c>
      <c r="AX38" s="11">
        <f>AA38/804.19</f>
        <v>0.26810705718842032</v>
      </c>
      <c r="AY38" s="11">
        <f>AB38</f>
        <v>0.51880000000000004</v>
      </c>
      <c r="AZ38" s="11">
        <f>AC38</f>
        <v>0.379</v>
      </c>
      <c r="BA38" s="11">
        <f>AD38</f>
        <v>0.51880000000000004</v>
      </c>
      <c r="BB38" s="10">
        <f>AVERAGE(AV38:BA38)*2</f>
        <v>0.74722853305247083</v>
      </c>
      <c r="BC38" s="10">
        <f>AVERAGE(AK38,AO38,AU38,BB38)</f>
        <v>0.72297862114029732</v>
      </c>
    </row>
    <row r="39" spans="1:55" x14ac:dyDescent="0.3">
      <c r="A39" s="2" t="s">
        <v>488</v>
      </c>
      <c r="B39" s="2" t="s">
        <v>167</v>
      </c>
      <c r="C39" s="2" t="s">
        <v>179</v>
      </c>
      <c r="D39" s="2" t="s">
        <v>179</v>
      </c>
      <c r="E39" s="2" t="s">
        <v>813</v>
      </c>
      <c r="F39" s="2" t="s">
        <v>179</v>
      </c>
      <c r="G39" s="2" t="s">
        <v>653</v>
      </c>
      <c r="H39" s="2" t="s">
        <v>884</v>
      </c>
      <c r="I39" s="2" t="s">
        <v>179</v>
      </c>
      <c r="J39" s="2">
        <v>1</v>
      </c>
      <c r="K39" s="9">
        <v>0.61850746015591129</v>
      </c>
      <c r="L39" s="9">
        <v>1</v>
      </c>
      <c r="M39" s="9">
        <v>0.47402984062364567</v>
      </c>
      <c r="N39" s="4">
        <v>13194</v>
      </c>
      <c r="O39" s="6">
        <f>N39/323827</f>
        <v>4.0743977494155828E-2</v>
      </c>
      <c r="P39" s="4">
        <v>12748</v>
      </c>
      <c r="Q39" s="6">
        <f>P39/323827</f>
        <v>3.9366698885516034E-2</v>
      </c>
      <c r="R39" s="4">
        <v>25219</v>
      </c>
      <c r="S39" s="6">
        <f>R39/323827</f>
        <v>7.7878002760733353E-2</v>
      </c>
      <c r="T39" s="2" t="s">
        <v>724</v>
      </c>
      <c r="U39" s="2" t="s">
        <v>722</v>
      </c>
      <c r="V39" s="5">
        <v>50000000</v>
      </c>
      <c r="W39" s="5">
        <v>38018701.520000003</v>
      </c>
      <c r="X39" s="5">
        <v>50000000</v>
      </c>
      <c r="Y39" s="5">
        <f>V39/339133</f>
        <v>147.43478222408316</v>
      </c>
      <c r="Z39" s="5">
        <f>W39/323827</f>
        <v>117.40435948824528</v>
      </c>
      <c r="AA39" s="5">
        <f>X39/339133</f>
        <v>147.43478222408316</v>
      </c>
      <c r="AB39" s="6">
        <v>0.16120000000000001</v>
      </c>
      <c r="AC39" s="6">
        <v>8.5699999999999998E-2</v>
      </c>
      <c r="AD39" s="6">
        <v>0.16120000000000001</v>
      </c>
      <c r="AE39" s="2" t="s">
        <v>767</v>
      </c>
      <c r="AF39" s="2">
        <v>8</v>
      </c>
      <c r="AG39" s="2">
        <v>4</v>
      </c>
      <c r="AH39" s="8">
        <f>K39</f>
        <v>0.61850746015591129</v>
      </c>
      <c r="AI39" s="8">
        <f>L39</f>
        <v>1</v>
      </c>
      <c r="AJ39" s="8">
        <f>M39</f>
        <v>0.47402984062364567</v>
      </c>
      <c r="AK39" s="8">
        <f>AVERAGE(AH39:AJ39)</f>
        <v>0.6975124335931856</v>
      </c>
      <c r="AL39" s="11">
        <f>(O39/12.69)*100</f>
        <v>0.32107153265686234</v>
      </c>
      <c r="AM39" s="11">
        <f>(Q39/9.99)*100</f>
        <v>0.39406104990506541</v>
      </c>
      <c r="AN39" s="11">
        <f>(S39/12.69)*100</f>
        <v>0.6136958452382455</v>
      </c>
      <c r="AO39" s="11">
        <f>AVERAGE(AL39:AN39)</f>
        <v>0.44294280926672441</v>
      </c>
      <c r="AP39" s="10">
        <v>1</v>
      </c>
      <c r="AQ39" s="10">
        <v>1</v>
      </c>
      <c r="AR39" s="10">
        <v>0.25</v>
      </c>
      <c r="AS39" s="10">
        <f>AF39/32</f>
        <v>0.25</v>
      </c>
      <c r="AT39" s="10">
        <f>AG39/28</f>
        <v>0.14285714285714285</v>
      </c>
      <c r="AU39" s="10">
        <f>AVERAGE(AP39:AT39)*2</f>
        <v>1.0571428571428572</v>
      </c>
      <c r="AV39" s="11">
        <f>Y39/776.02</f>
        <v>0.18998837945424496</v>
      </c>
      <c r="AW39" s="11">
        <f>Z39/639.8</f>
        <v>0.18350165596787321</v>
      </c>
      <c r="AX39" s="11">
        <f>AA39/804.19</f>
        <v>0.1833332697796331</v>
      </c>
      <c r="AY39" s="11">
        <f>AB39</f>
        <v>0.16120000000000001</v>
      </c>
      <c r="AZ39" s="11">
        <f>AC39</f>
        <v>8.5699999999999998E-2</v>
      </c>
      <c r="BA39" s="11">
        <f>AD39</f>
        <v>0.16120000000000001</v>
      </c>
      <c r="BB39" s="10">
        <f>AVERAGE(AV39:BA39)*2</f>
        <v>0.32164110173391708</v>
      </c>
      <c r="BC39" s="10">
        <f>AVERAGE(AK39,AO39,AU39,BB39)</f>
        <v>0.62980980043417101</v>
      </c>
    </row>
    <row r="40" spans="1:55" x14ac:dyDescent="0.3">
      <c r="A40" s="2" t="s">
        <v>614</v>
      </c>
      <c r="B40" s="2" t="s">
        <v>201</v>
      </c>
      <c r="C40" s="2" t="s">
        <v>289</v>
      </c>
      <c r="D40" s="2" t="s">
        <v>289</v>
      </c>
      <c r="E40" s="2" t="s">
        <v>787</v>
      </c>
      <c r="F40" s="2" t="s">
        <v>289</v>
      </c>
      <c r="G40" s="2" t="s">
        <v>656</v>
      </c>
      <c r="H40" s="2" t="s">
        <v>886</v>
      </c>
      <c r="I40" s="2" t="s">
        <v>249</v>
      </c>
      <c r="J40" s="2">
        <v>2</v>
      </c>
      <c r="K40" s="9">
        <v>0.58752864542053973</v>
      </c>
      <c r="L40" s="9">
        <v>1</v>
      </c>
      <c r="M40" s="9">
        <v>0.38951277595149947</v>
      </c>
      <c r="N40" s="4">
        <v>33</v>
      </c>
      <c r="O40" s="6">
        <f>N40/137319</f>
        <v>2.4031634369606536E-4</v>
      </c>
      <c r="P40" s="4">
        <v>81</v>
      </c>
      <c r="Q40" s="6">
        <f>P40/137319</f>
        <v>5.8986738907216044E-4</v>
      </c>
      <c r="R40" s="4">
        <v>123</v>
      </c>
      <c r="S40" s="6">
        <f>R40/137319</f>
        <v>8.9572455377624359E-4</v>
      </c>
      <c r="T40" s="2" t="s">
        <v>724</v>
      </c>
      <c r="U40" s="2" t="s">
        <v>722</v>
      </c>
      <c r="V40" s="5">
        <v>1761015.45</v>
      </c>
      <c r="W40" s="5">
        <v>1761015.45</v>
      </c>
      <c r="X40" s="5">
        <v>1761015.45</v>
      </c>
      <c r="Y40" s="5">
        <f>V40/137319</f>
        <v>12.824266488978218</v>
      </c>
      <c r="Z40" s="5">
        <f>W40/137319</f>
        <v>12.824266488978218</v>
      </c>
      <c r="AA40" s="5">
        <f>X40/137319</f>
        <v>12.824266488978218</v>
      </c>
      <c r="AB40" s="6">
        <v>0.03</v>
      </c>
      <c r="AC40" s="6">
        <v>0.03</v>
      </c>
      <c r="AD40" s="6">
        <v>0.03</v>
      </c>
      <c r="AE40" s="2" t="s">
        <v>775</v>
      </c>
      <c r="AF40" s="2">
        <v>8</v>
      </c>
      <c r="AG40" s="2">
        <v>4</v>
      </c>
      <c r="AH40" s="8">
        <f>K40</f>
        <v>0.58752864542053973</v>
      </c>
      <c r="AI40" s="8">
        <f>L40</f>
        <v>1</v>
      </c>
      <c r="AJ40" s="8">
        <f>M40</f>
        <v>0.38951277595149947</v>
      </c>
      <c r="AK40" s="8">
        <f>AVERAGE(AH40:AJ40)</f>
        <v>0.65901380712401314</v>
      </c>
      <c r="AL40" s="11">
        <f>(O40/12.69)*100</f>
        <v>1.8937458132077649E-3</v>
      </c>
      <c r="AM40" s="11">
        <f>(Q40/9.99)*100</f>
        <v>5.9045784691907953E-3</v>
      </c>
      <c r="AN40" s="11">
        <f>(S40/12.69)*100</f>
        <v>7.0585071219562154E-3</v>
      </c>
      <c r="AO40" s="11">
        <f>AVERAGE(AL40:AN40)</f>
        <v>4.9522771347849251E-3</v>
      </c>
      <c r="AP40" s="10">
        <v>1</v>
      </c>
      <c r="AQ40" s="10">
        <v>1</v>
      </c>
      <c r="AR40" s="10">
        <v>0.25</v>
      </c>
      <c r="AS40" s="10">
        <f>AF40/32</f>
        <v>0.25</v>
      </c>
      <c r="AT40" s="10">
        <f>AG40/28</f>
        <v>0.14285714285714285</v>
      </c>
      <c r="AU40" s="10">
        <f>AVERAGE(AP40:AT40)*2</f>
        <v>1.0571428571428572</v>
      </c>
      <c r="AV40" s="11">
        <f>Y40/776.02</f>
        <v>1.6525690689644879E-2</v>
      </c>
      <c r="AW40" s="11">
        <f>Z40/639.8</f>
        <v>2.004418019533951E-2</v>
      </c>
      <c r="AX40" s="11">
        <f>AA40/804.19</f>
        <v>1.5946811685022464E-2</v>
      </c>
      <c r="AY40" s="11">
        <f>AB40</f>
        <v>0.03</v>
      </c>
      <c r="AZ40" s="11">
        <f>AC40</f>
        <v>0.03</v>
      </c>
      <c r="BA40" s="11">
        <f>AD40</f>
        <v>0.03</v>
      </c>
      <c r="BB40" s="10">
        <f>AVERAGE(AV40:BA40)*2</f>
        <v>4.7505560856668953E-2</v>
      </c>
      <c r="BC40" s="10">
        <f>AVERAGE(AK40,AO40,AU40,BB40)</f>
        <v>0.4421536255645811</v>
      </c>
    </row>
    <row r="41" spans="1:55" x14ac:dyDescent="0.3">
      <c r="A41" s="2" t="s">
        <v>434</v>
      </c>
      <c r="B41" s="2" t="s">
        <v>117</v>
      </c>
      <c r="C41" s="2" t="s">
        <v>124</v>
      </c>
      <c r="D41" s="2" t="s">
        <v>124</v>
      </c>
      <c r="E41" s="2" t="s">
        <v>818</v>
      </c>
      <c r="F41" s="2" t="s">
        <v>124</v>
      </c>
      <c r="G41" s="2" t="s">
        <v>653</v>
      </c>
      <c r="H41" s="2" t="s">
        <v>887</v>
      </c>
      <c r="I41" s="2" t="s">
        <v>124</v>
      </c>
      <c r="J41" s="2">
        <v>1</v>
      </c>
      <c r="K41" s="9">
        <v>0.70518314950309013</v>
      </c>
      <c r="L41" s="9">
        <v>1</v>
      </c>
      <c r="M41" s="9">
        <v>0.62917255206148215</v>
      </c>
      <c r="N41" s="4">
        <v>53313</v>
      </c>
      <c r="O41" s="6">
        <f>N41/1537704</f>
        <v>3.4670521764917042E-2</v>
      </c>
      <c r="P41" s="4">
        <v>80491</v>
      </c>
      <c r="Q41" s="6">
        <f>P41/1480305</f>
        <v>5.437460523338096E-2</v>
      </c>
      <c r="R41" s="4">
        <v>130843</v>
      </c>
      <c r="S41" s="6">
        <f>R41/1537704</f>
        <v>8.5089848241273996E-2</v>
      </c>
      <c r="T41" s="2" t="s">
        <v>724</v>
      </c>
      <c r="U41" s="2" t="s">
        <v>725</v>
      </c>
      <c r="V41" s="5">
        <v>295242747.25999999</v>
      </c>
      <c r="W41" s="5">
        <v>211225941.02000001</v>
      </c>
      <c r="X41" s="5">
        <v>368951520.66000003</v>
      </c>
      <c r="Y41" s="5">
        <f>V41/1537704</f>
        <v>192.0023276651423</v>
      </c>
      <c r="Z41" s="5">
        <f>W41/1480305</f>
        <v>142.69082453953746</v>
      </c>
      <c r="AA41" s="5">
        <f>X41/1537704</f>
        <v>239.9366332272011</v>
      </c>
      <c r="AB41" s="6">
        <v>0.12870000000000001</v>
      </c>
      <c r="AC41" s="6">
        <v>0.24979999999999999</v>
      </c>
      <c r="AD41" s="6">
        <v>0.4602</v>
      </c>
      <c r="AE41" s="2" t="s">
        <v>683</v>
      </c>
      <c r="AF41" s="2">
        <v>20</v>
      </c>
      <c r="AG41" s="2">
        <v>20</v>
      </c>
      <c r="AH41" s="8">
        <f>K41</f>
        <v>0.70518314950309013</v>
      </c>
      <c r="AI41" s="8">
        <f>L41</f>
        <v>1</v>
      </c>
      <c r="AJ41" s="8">
        <f>M41</f>
        <v>0.62917255206148215</v>
      </c>
      <c r="AK41" s="8">
        <f>AVERAGE(AH41:AJ41)</f>
        <v>0.77811856718819072</v>
      </c>
      <c r="AL41" s="11">
        <f>(O41/12.69)*100</f>
        <v>0.27321136142566621</v>
      </c>
      <c r="AM41" s="11">
        <f>(Q41/9.99)*100</f>
        <v>0.54429034267648613</v>
      </c>
      <c r="AN41" s="11">
        <f>(S41/12.69)*100</f>
        <v>0.67052677889104806</v>
      </c>
      <c r="AO41" s="11">
        <f>AVERAGE(AL41:AN41)</f>
        <v>0.49600949433106684</v>
      </c>
      <c r="AP41" s="10">
        <v>1</v>
      </c>
      <c r="AQ41" s="10">
        <v>0</v>
      </c>
      <c r="AR41" s="10">
        <v>0.25</v>
      </c>
      <c r="AS41" s="10">
        <f>AF41/32</f>
        <v>0.625</v>
      </c>
      <c r="AT41" s="10">
        <f>AG41/28</f>
        <v>0.7142857142857143</v>
      </c>
      <c r="AU41" s="10">
        <f>AVERAGE(AP41:AT41)*2</f>
        <v>1.0357142857142858</v>
      </c>
      <c r="AV41" s="11">
        <f>Y41/776.02</f>
        <v>0.24741930319468869</v>
      </c>
      <c r="AW41" s="11">
        <f>Z41/639.8</f>
        <v>0.22302410837689507</v>
      </c>
      <c r="AX41" s="11">
        <f>AA41/804.19</f>
        <v>0.29835814077170952</v>
      </c>
      <c r="AY41" s="11">
        <f>AB41</f>
        <v>0.12870000000000001</v>
      </c>
      <c r="AZ41" s="11">
        <f>AC41</f>
        <v>0.24979999999999999</v>
      </c>
      <c r="BA41" s="11">
        <f>AD41</f>
        <v>0.4602</v>
      </c>
      <c r="BB41" s="10">
        <f>AVERAGE(AV41:BA41)*2</f>
        <v>0.53583385078109769</v>
      </c>
      <c r="BC41" s="10">
        <f>AVERAGE(AK41,AO41,AU41,BB41)</f>
        <v>0.71141904950366031</v>
      </c>
    </row>
    <row r="42" spans="1:55" x14ac:dyDescent="0.3">
      <c r="A42" s="2" t="s">
        <v>597</v>
      </c>
      <c r="B42" s="2" t="s">
        <v>201</v>
      </c>
      <c r="C42" s="2" t="s">
        <v>249</v>
      </c>
      <c r="D42" s="2" t="s">
        <v>249</v>
      </c>
      <c r="E42" s="2" t="s">
        <v>832</v>
      </c>
      <c r="F42" s="2" t="s">
        <v>249</v>
      </c>
      <c r="G42" s="2" t="s">
        <v>657</v>
      </c>
      <c r="H42" s="2" t="s">
        <v>884</v>
      </c>
      <c r="I42" s="2" t="s">
        <v>249</v>
      </c>
      <c r="J42" s="2">
        <v>1</v>
      </c>
      <c r="K42" s="9">
        <v>0.84346140726423702</v>
      </c>
      <c r="L42" s="9">
        <v>1</v>
      </c>
      <c r="M42" s="9">
        <v>0.82982080057038377</v>
      </c>
      <c r="N42" s="4">
        <v>34900</v>
      </c>
      <c r="O42" s="6">
        <f>N42/832347</f>
        <v>4.1929627907591423E-2</v>
      </c>
      <c r="P42" s="4">
        <v>24667</v>
      </c>
      <c r="Q42" s="6">
        <f>P42/798905</f>
        <v>3.0876011540796465E-2</v>
      </c>
      <c r="R42" s="4">
        <v>43882</v>
      </c>
      <c r="S42" s="6">
        <f>R42/832847</f>
        <v>5.2689149387582596E-2</v>
      </c>
      <c r="T42" s="2" t="s">
        <v>723</v>
      </c>
      <c r="U42" s="2" t="s">
        <v>722</v>
      </c>
      <c r="V42" s="5">
        <v>582115494</v>
      </c>
      <c r="W42" s="5">
        <v>532534328.75999999</v>
      </c>
      <c r="X42" s="5">
        <v>1361920274</v>
      </c>
      <c r="Y42" s="5">
        <f>V42/832347</f>
        <v>699.36636282704205</v>
      </c>
      <c r="Z42" s="5">
        <f>W42/832347</f>
        <v>639.79845996921961</v>
      </c>
      <c r="AA42" s="5">
        <f>X42/832347</f>
        <v>1636.2409836282225</v>
      </c>
      <c r="AB42" s="6">
        <v>0.1116</v>
      </c>
      <c r="AC42" s="6">
        <v>0.1263</v>
      </c>
      <c r="AD42" s="6">
        <v>0.27750000000000002</v>
      </c>
      <c r="AE42" s="2" t="s">
        <v>743</v>
      </c>
      <c r="AF42" s="2">
        <v>16</v>
      </c>
      <c r="AG42" s="2">
        <v>16</v>
      </c>
      <c r="AH42" s="8">
        <f>K42</f>
        <v>0.84346140726423702</v>
      </c>
      <c r="AI42" s="8">
        <f>L42</f>
        <v>1</v>
      </c>
      <c r="AJ42" s="8">
        <f>M42</f>
        <v>0.82982080057038377</v>
      </c>
      <c r="AK42" s="8">
        <f>AVERAGE(AH42:AJ42)</f>
        <v>0.891094069278207</v>
      </c>
      <c r="AL42" s="11">
        <f>(O42/12.69)*100</f>
        <v>0.33041471952396712</v>
      </c>
      <c r="AM42" s="11">
        <f>(Q42/9.99)*100</f>
        <v>0.30906918459255717</v>
      </c>
      <c r="AN42" s="11">
        <f>(S42/12.69)*100</f>
        <v>0.4152021228335902</v>
      </c>
      <c r="AO42" s="11">
        <f>AVERAGE(AL42:AN42)</f>
        <v>0.35156200898337153</v>
      </c>
      <c r="AP42" s="10">
        <v>0.25</v>
      </c>
      <c r="AQ42" s="10">
        <v>1</v>
      </c>
      <c r="AR42" s="10">
        <v>0.25</v>
      </c>
      <c r="AS42" s="10">
        <f>AF42/32</f>
        <v>0.5</v>
      </c>
      <c r="AT42" s="10">
        <f>AG42/28</f>
        <v>0.5714285714285714</v>
      </c>
      <c r="AU42" s="10">
        <f>AVERAGE(AP42:AT42)*2</f>
        <v>1.0285714285714285</v>
      </c>
      <c r="AV42" s="11">
        <f>Y42/776.02</f>
        <v>0.90122208554810712</v>
      </c>
      <c r="AW42" s="11">
        <f>Z42/639.8</f>
        <v>0.99999759294970247</v>
      </c>
      <c r="AX42" s="11">
        <v>1.5</v>
      </c>
      <c r="AY42" s="11">
        <f>AB42</f>
        <v>0.1116</v>
      </c>
      <c r="AZ42" s="11">
        <f>AC42</f>
        <v>0.1263</v>
      </c>
      <c r="BA42" s="11">
        <f>AD42</f>
        <v>0.27750000000000002</v>
      </c>
      <c r="BB42" s="10">
        <f>AVERAGE(AV42:BA42)*2</f>
        <v>1.3055398928326032</v>
      </c>
      <c r="BC42" s="10">
        <f>AVERAGE(AK42,AO42,AU42,BB42)</f>
        <v>0.89419184991640255</v>
      </c>
    </row>
    <row r="43" spans="1:55" x14ac:dyDescent="0.3">
      <c r="A43" s="2" t="s">
        <v>566</v>
      </c>
      <c r="B43" s="2" t="s">
        <v>201</v>
      </c>
      <c r="C43" s="2" t="s">
        <v>249</v>
      </c>
      <c r="D43" s="2" t="s">
        <v>244</v>
      </c>
      <c r="E43" s="2" t="s">
        <v>221</v>
      </c>
      <c r="F43" s="2" t="s">
        <v>664</v>
      </c>
      <c r="G43" s="2" t="s">
        <v>651</v>
      </c>
      <c r="H43" s="2" t="s">
        <v>886</v>
      </c>
      <c r="I43" s="2" t="s">
        <v>249</v>
      </c>
      <c r="J43" s="2">
        <v>2</v>
      </c>
      <c r="K43" s="9">
        <v>0.68122991424434798</v>
      </c>
      <c r="L43" s="9">
        <v>1</v>
      </c>
      <c r="M43" s="9">
        <v>0.48091429155124343</v>
      </c>
      <c r="N43" s="4">
        <v>89</v>
      </c>
      <c r="O43" s="6">
        <f>N43/311116</f>
        <v>2.860669332339063E-4</v>
      </c>
      <c r="P43" s="4">
        <v>287</v>
      </c>
      <c r="Q43" s="6">
        <f>P43/300934</f>
        <v>9.5369748848584735E-4</v>
      </c>
      <c r="R43" s="4">
        <v>978</v>
      </c>
      <c r="S43" s="6">
        <f>R43/300934</f>
        <v>3.2498820339343509E-3</v>
      </c>
      <c r="T43" s="2" t="s">
        <v>723</v>
      </c>
      <c r="U43" s="2" t="s">
        <v>722</v>
      </c>
      <c r="V43" s="5" t="s">
        <v>662</v>
      </c>
      <c r="W43" s="5" t="s">
        <v>662</v>
      </c>
      <c r="Y43" s="5" t="s">
        <v>662</v>
      </c>
      <c r="Z43" s="5" t="s">
        <v>662</v>
      </c>
      <c r="AB43" s="5" t="s">
        <v>662</v>
      </c>
      <c r="AC43" s="5" t="s">
        <v>662</v>
      </c>
      <c r="AE43" s="2" t="s">
        <v>743</v>
      </c>
      <c r="AF43" s="2">
        <v>16</v>
      </c>
      <c r="AG43" s="2">
        <v>16</v>
      </c>
      <c r="AH43" s="8">
        <f>K43</f>
        <v>0.68122991424434798</v>
      </c>
      <c r="AI43" s="8">
        <f>L43</f>
        <v>1</v>
      </c>
      <c r="AJ43" s="8">
        <f>M43</f>
        <v>0.48091429155124343</v>
      </c>
      <c r="AK43" s="8">
        <f>AVERAGE(AH43:AJ43)</f>
        <v>0.72071473526519714</v>
      </c>
      <c r="AL43" s="11">
        <f>(O43/12.69)*100</f>
        <v>2.2542705534586787E-3</v>
      </c>
      <c r="AM43" s="11">
        <f>(Q43/9.99)*100</f>
        <v>9.5465214062647376E-3</v>
      </c>
      <c r="AN43" s="11">
        <f>(S43/12.69)*100</f>
        <v>2.5609787501452725E-2</v>
      </c>
      <c r="AO43" s="11">
        <f>AVERAGE(AL43:AN43)</f>
        <v>1.2470193153725379E-2</v>
      </c>
      <c r="AP43" s="10">
        <v>0.25</v>
      </c>
      <c r="AQ43" s="10">
        <v>1</v>
      </c>
      <c r="AR43" s="10">
        <v>0.25</v>
      </c>
      <c r="AS43" s="10">
        <f>AF43/32</f>
        <v>0.5</v>
      </c>
      <c r="AT43" s="10">
        <f>AG43/28</f>
        <v>0.5714285714285714</v>
      </c>
      <c r="AU43" s="10">
        <f>AVERAGE(AP43:AT43)*2</f>
        <v>1.0285714285714285</v>
      </c>
    </row>
    <row r="44" spans="1:55" x14ac:dyDescent="0.3">
      <c r="A44" s="2" t="s">
        <v>426</v>
      </c>
      <c r="B44" s="2" t="s">
        <v>113</v>
      </c>
      <c r="C44" s="2" t="s">
        <v>116</v>
      </c>
      <c r="D44" s="2" t="s">
        <v>116</v>
      </c>
      <c r="E44" s="2" t="s">
        <v>116</v>
      </c>
      <c r="F44" s="2" t="s">
        <v>116</v>
      </c>
      <c r="G44" s="2" t="s">
        <v>654</v>
      </c>
      <c r="H44" s="2" t="s">
        <v>888</v>
      </c>
      <c r="I44" s="2" t="s">
        <v>115</v>
      </c>
      <c r="J44" s="2">
        <v>3</v>
      </c>
      <c r="K44" s="9">
        <v>0.2401757140885869</v>
      </c>
      <c r="L44" s="9">
        <v>0.38062826316843579</v>
      </c>
      <c r="M44" s="9">
        <v>0.5048559304301512</v>
      </c>
      <c r="N44" s="4">
        <v>2516</v>
      </c>
      <c r="O44" s="6">
        <f>N44/103199</f>
        <v>2.4380081202337232E-2</v>
      </c>
      <c r="P44" s="4">
        <f>(N44+2247)/2</f>
        <v>2381.5</v>
      </c>
      <c r="Q44" s="6">
        <f>P44/103199</f>
        <v>2.307677399974806E-2</v>
      </c>
      <c r="R44" s="4">
        <v>2516</v>
      </c>
      <c r="S44" s="6">
        <v>2.4380081202337232E-2</v>
      </c>
      <c r="T44" s="2" t="s">
        <v>723</v>
      </c>
      <c r="U44" s="2" t="s">
        <v>722</v>
      </c>
      <c r="V44" s="5" t="s">
        <v>662</v>
      </c>
      <c r="W44" s="5" t="s">
        <v>662</v>
      </c>
      <c r="Y44" s="5" t="s">
        <v>662</v>
      </c>
      <c r="Z44" s="5" t="s">
        <v>662</v>
      </c>
      <c r="AB44" s="6" t="s">
        <v>662</v>
      </c>
      <c r="AC44" s="6" t="s">
        <v>662</v>
      </c>
      <c r="AE44" s="2" t="s">
        <v>779</v>
      </c>
      <c r="AF44" s="2">
        <v>16</v>
      </c>
      <c r="AG44" s="2">
        <v>16</v>
      </c>
      <c r="AH44" s="8">
        <f>K44</f>
        <v>0.2401757140885869</v>
      </c>
      <c r="AI44" s="8">
        <f>L44</f>
        <v>0.38062826316843579</v>
      </c>
      <c r="AJ44" s="8">
        <f>M44</f>
        <v>0.5048559304301512</v>
      </c>
      <c r="AK44" s="8">
        <f>AVERAGE(AH44:AJ44)</f>
        <v>0.37521996922905793</v>
      </c>
      <c r="AL44" s="11">
        <f>(O44/12.69)*100</f>
        <v>0.19212041924615628</v>
      </c>
      <c r="AM44" s="11">
        <f>(Q44/9.99)*100</f>
        <v>0.23099873873621682</v>
      </c>
      <c r="AN44" s="11">
        <f>(S44/12.69)*100</f>
        <v>0.19212041924615628</v>
      </c>
      <c r="AO44" s="11">
        <f>AVERAGE(AL44:AN44)</f>
        <v>0.20507985907617646</v>
      </c>
      <c r="AP44" s="10">
        <v>0.25</v>
      </c>
      <c r="AQ44" s="10">
        <v>1</v>
      </c>
      <c r="AR44" s="10">
        <v>0.25</v>
      </c>
      <c r="AS44" s="10">
        <f>AF44/32</f>
        <v>0.5</v>
      </c>
      <c r="AT44" s="10">
        <f>AG44/28</f>
        <v>0.5714285714285714</v>
      </c>
      <c r="AU44" s="10">
        <f>AVERAGE(AP44:AT44)*2</f>
        <v>1.0285714285714285</v>
      </c>
    </row>
    <row r="45" spans="1:55" x14ac:dyDescent="0.3">
      <c r="A45" s="2" t="s">
        <v>518</v>
      </c>
      <c r="B45" s="2" t="s">
        <v>186</v>
      </c>
      <c r="C45" s="2" t="s">
        <v>187</v>
      </c>
      <c r="D45" s="2" t="s">
        <v>187</v>
      </c>
      <c r="E45" s="2" t="s">
        <v>187</v>
      </c>
      <c r="F45" s="2" t="s">
        <v>187</v>
      </c>
      <c r="G45" s="2" t="s">
        <v>656</v>
      </c>
      <c r="H45" s="2" t="s">
        <v>886</v>
      </c>
      <c r="I45" s="2" t="s">
        <v>192</v>
      </c>
      <c r="J45" s="2">
        <v>2</v>
      </c>
      <c r="K45" s="9">
        <v>0.69294782179233638</v>
      </c>
      <c r="L45" s="9">
        <v>1</v>
      </c>
      <c r="M45" s="9">
        <v>0.50110043207507182</v>
      </c>
      <c r="N45" s="4">
        <v>12000</v>
      </c>
      <c r="O45" s="6">
        <f>N45/261808</f>
        <v>4.5835115810059279E-2</v>
      </c>
      <c r="P45" s="4">
        <v>8140</v>
      </c>
      <c r="Q45" s="6">
        <f>P45/261808</f>
        <v>3.1091486891156879E-2</v>
      </c>
      <c r="R45" s="4">
        <f>N45</f>
        <v>12000</v>
      </c>
      <c r="S45" s="6">
        <f>O45</f>
        <v>4.5835115810059279E-2</v>
      </c>
      <c r="T45" s="2" t="s">
        <v>724</v>
      </c>
      <c r="U45" s="2" t="s">
        <v>725</v>
      </c>
      <c r="V45" s="5">
        <v>28618775</v>
      </c>
      <c r="W45" s="5">
        <v>49627089.240000002</v>
      </c>
      <c r="X45" s="5">
        <v>84801510.200000003</v>
      </c>
      <c r="Y45" s="5">
        <f>V45/261808</f>
        <v>109.31207220558578</v>
      </c>
      <c r="Z45" s="5">
        <f>W45/261808</f>
        <v>189.55528188596224</v>
      </c>
      <c r="AA45" s="5">
        <f>X45/236917</f>
        <v>357.93763301071687</v>
      </c>
      <c r="AB45" s="6">
        <v>0.01</v>
      </c>
      <c r="AC45" s="6">
        <v>3.6700000000000003E-2</v>
      </c>
      <c r="AD45" s="6">
        <v>7.0000000000000007E-2</v>
      </c>
      <c r="AE45" s="2" t="s">
        <v>678</v>
      </c>
      <c r="AF45" s="2">
        <v>8</v>
      </c>
      <c r="AG45" s="2">
        <v>8</v>
      </c>
      <c r="AH45" s="8">
        <f>K45</f>
        <v>0.69294782179233638</v>
      </c>
      <c r="AI45" s="8">
        <f>L45</f>
        <v>1</v>
      </c>
      <c r="AJ45" s="8">
        <f>M45</f>
        <v>0.50110043207507182</v>
      </c>
      <c r="AK45" s="8">
        <f>AVERAGE(AH45:AJ45)</f>
        <v>0.73134941795580277</v>
      </c>
      <c r="AL45" s="11">
        <f>(O45/12.69)*100</f>
        <v>0.36119082592639307</v>
      </c>
      <c r="AM45" s="11">
        <f>(Q45/9.99)*100</f>
        <v>0.31122609500657533</v>
      </c>
      <c r="AN45" s="11">
        <f>(S45/12.69)*100</f>
        <v>0.36119082592639307</v>
      </c>
      <c r="AO45" s="11">
        <f>AVERAGE(AL45:AN45)</f>
        <v>0.34453591561978714</v>
      </c>
      <c r="AP45" s="10">
        <v>1</v>
      </c>
      <c r="AQ45" s="10">
        <v>0</v>
      </c>
      <c r="AR45" s="10">
        <v>1</v>
      </c>
      <c r="AS45" s="10">
        <f>AF45/32</f>
        <v>0.25</v>
      </c>
      <c r="AT45" s="10">
        <f>AG45/28</f>
        <v>0.2857142857142857</v>
      </c>
      <c r="AU45" s="10">
        <f>AVERAGE(AP45:AT45)*2</f>
        <v>1.0142857142857142</v>
      </c>
      <c r="AV45" s="11">
        <f>Y45/776.02</f>
        <v>0.14086244195457048</v>
      </c>
      <c r="AW45" s="11">
        <f>Z45/639.8</f>
        <v>0.29627271316968157</v>
      </c>
      <c r="AX45" s="11">
        <f>AA45/804.19</f>
        <v>0.44509087779096584</v>
      </c>
      <c r="AY45" s="11">
        <f>AB45</f>
        <v>0.01</v>
      </c>
      <c r="AZ45" s="11">
        <f>AC45</f>
        <v>3.6700000000000003E-2</v>
      </c>
      <c r="BA45" s="11">
        <f>AD45</f>
        <v>7.0000000000000007E-2</v>
      </c>
      <c r="BB45" s="10">
        <f>AVERAGE(AV45:BA45)*2</f>
        <v>0.33297534430507264</v>
      </c>
      <c r="BC45" s="10">
        <f>AVERAGE(AK45,AO45,AU45,BB45)</f>
        <v>0.60578659804159418</v>
      </c>
    </row>
    <row r="46" spans="1:55" x14ac:dyDescent="0.3">
      <c r="A46" s="2" t="s">
        <v>414</v>
      </c>
      <c r="B46" s="2" t="s">
        <v>103</v>
      </c>
      <c r="C46" s="2" t="s">
        <v>105</v>
      </c>
      <c r="D46" s="2" t="s">
        <v>105</v>
      </c>
      <c r="E46" s="2" t="s">
        <v>799</v>
      </c>
      <c r="F46" s="2" t="s">
        <v>662</v>
      </c>
      <c r="G46" s="2" t="s">
        <v>651</v>
      </c>
      <c r="H46" s="2" t="s">
        <v>886</v>
      </c>
      <c r="I46" s="2" t="s">
        <v>104</v>
      </c>
      <c r="J46" s="2">
        <v>2</v>
      </c>
      <c r="K46" s="9">
        <v>0.66088802708791394</v>
      </c>
      <c r="L46" s="9">
        <v>1</v>
      </c>
      <c r="M46" s="9">
        <v>0.31732769844111464</v>
      </c>
      <c r="N46" s="4">
        <v>3333</v>
      </c>
      <c r="O46" s="6">
        <f>N46/180492</f>
        <v>1.8466192407419719E-2</v>
      </c>
      <c r="P46" s="4">
        <v>3333</v>
      </c>
      <c r="Q46" s="6">
        <f>O46</f>
        <v>1.8466192407419719E-2</v>
      </c>
      <c r="R46" s="4">
        <v>3333</v>
      </c>
      <c r="S46" s="6">
        <v>1.8466192407419719E-2</v>
      </c>
      <c r="T46" s="2" t="s">
        <v>724</v>
      </c>
      <c r="U46" s="2" t="s">
        <v>725</v>
      </c>
      <c r="V46" s="5">
        <v>8558884.3800000008</v>
      </c>
      <c r="W46" s="5">
        <v>8558884.3800000008</v>
      </c>
      <c r="X46" s="5">
        <v>8558884.3800000008</v>
      </c>
      <c r="Y46" s="5">
        <f>V46/164949</f>
        <v>51.888064674535769</v>
      </c>
      <c r="Z46" s="5">
        <f>Y46</f>
        <v>51.888064674535769</v>
      </c>
      <c r="AA46" s="5">
        <f>Z46</f>
        <v>51.888064674535769</v>
      </c>
      <c r="AE46" s="2" t="s">
        <v>679</v>
      </c>
      <c r="AF46" s="2">
        <v>8</v>
      </c>
      <c r="AG46" s="2">
        <v>8</v>
      </c>
      <c r="AH46" s="8">
        <f>K46</f>
        <v>0.66088802708791394</v>
      </c>
      <c r="AI46" s="8">
        <f>L46</f>
        <v>1</v>
      </c>
      <c r="AJ46" s="8">
        <f>M46</f>
        <v>0.31732769844111464</v>
      </c>
      <c r="AK46" s="8">
        <f>AVERAGE(AH46:AJ46)</f>
        <v>0.65940524184300953</v>
      </c>
      <c r="AL46" s="11">
        <f>(O46/12.69)*100</f>
        <v>0.14551767066524601</v>
      </c>
      <c r="AM46" s="11">
        <f>(Q46/9.99)*100</f>
        <v>0.18484677084504222</v>
      </c>
      <c r="AN46" s="11">
        <f>(S46/12.69)*100</f>
        <v>0.14551767066524601</v>
      </c>
      <c r="AO46" s="11">
        <f>AVERAGE(AL46:AN46)</f>
        <v>0.15862737072517807</v>
      </c>
      <c r="AP46" s="10">
        <v>1</v>
      </c>
      <c r="AQ46" s="10">
        <v>0</v>
      </c>
      <c r="AR46" s="10">
        <v>1</v>
      </c>
      <c r="AS46" s="10">
        <f>AF46/32</f>
        <v>0.25</v>
      </c>
      <c r="AT46" s="10">
        <f>AG46/28</f>
        <v>0.2857142857142857</v>
      </c>
      <c r="AU46" s="10">
        <f>AVERAGE(AP46:AT46)*2</f>
        <v>1.0142857142857142</v>
      </c>
      <c r="AV46" s="11">
        <f>Y46/776.02</f>
        <v>6.6864339417200297E-2</v>
      </c>
      <c r="AW46" s="11">
        <f>Z46/639.8</f>
        <v>8.1100444943006833E-2</v>
      </c>
      <c r="AX46" s="11">
        <f>AA46/804.19</f>
        <v>6.452214610295548E-2</v>
      </c>
      <c r="AY46" s="11"/>
      <c r="AZ46" s="11"/>
      <c r="BA46" s="11"/>
    </row>
    <row r="47" spans="1:55" x14ac:dyDescent="0.3">
      <c r="A47" s="2" t="s">
        <v>452</v>
      </c>
      <c r="B47" s="2" t="s">
        <v>131</v>
      </c>
      <c r="C47" s="2" t="s">
        <v>136</v>
      </c>
      <c r="D47" s="2" t="s">
        <v>136</v>
      </c>
      <c r="E47" s="2" t="s">
        <v>839</v>
      </c>
      <c r="F47" s="2" t="s">
        <v>136</v>
      </c>
      <c r="G47" s="2" t="s">
        <v>653</v>
      </c>
      <c r="H47" s="2" t="s">
        <v>884</v>
      </c>
      <c r="I47" s="2" t="s">
        <v>136</v>
      </c>
      <c r="J47" s="2">
        <v>1</v>
      </c>
      <c r="K47" s="9">
        <v>0.75761324533248986</v>
      </c>
      <c r="L47" s="9">
        <v>1</v>
      </c>
      <c r="M47" s="9">
        <v>0.54357240606593216</v>
      </c>
      <c r="N47" s="4">
        <v>721</v>
      </c>
      <c r="O47" s="6">
        <f>N47/131048</f>
        <v>5.5018008668579451E-3</v>
      </c>
      <c r="P47" s="4">
        <v>2526</v>
      </c>
      <c r="Q47" s="6">
        <f>P47/124028</f>
        <v>2.0366368884445447E-2</v>
      </c>
      <c r="R47" s="4">
        <v>8213</v>
      </c>
      <c r="S47" s="6">
        <f>R47/117008</f>
        <v>7.0191781758512234E-2</v>
      </c>
      <c r="T47" s="2" t="s">
        <v>723</v>
      </c>
      <c r="U47" s="2" t="s">
        <v>722</v>
      </c>
      <c r="V47" s="5" t="s">
        <v>662</v>
      </c>
      <c r="W47" s="5" t="s">
        <v>662</v>
      </c>
      <c r="Y47" s="5" t="s">
        <v>662</v>
      </c>
      <c r="Z47" s="5" t="s">
        <v>662</v>
      </c>
      <c r="AB47" s="6" t="s">
        <v>662</v>
      </c>
      <c r="AC47" s="6" t="s">
        <v>662</v>
      </c>
      <c r="AE47" s="2" t="s">
        <v>694</v>
      </c>
      <c r="AF47" s="2">
        <v>15</v>
      </c>
      <c r="AG47" s="2">
        <v>15</v>
      </c>
      <c r="AH47" s="8">
        <f>K47</f>
        <v>0.75761324533248986</v>
      </c>
      <c r="AI47" s="8">
        <f>L47</f>
        <v>1</v>
      </c>
      <c r="AJ47" s="8">
        <f>M47</f>
        <v>0.54357240606593216</v>
      </c>
      <c r="AK47" s="8">
        <f>AVERAGE(AH47:AJ47)</f>
        <v>0.76706188379947404</v>
      </c>
      <c r="AL47" s="11">
        <f>(O47/12.69)*100</f>
        <v>4.3355404782174513E-2</v>
      </c>
      <c r="AM47" s="11">
        <f>(Q47/9.99)*100</f>
        <v>0.20386755640085533</v>
      </c>
      <c r="AN47" s="11">
        <f>(S47/12.69)*100</f>
        <v>0.55312672780545502</v>
      </c>
      <c r="AO47" s="11">
        <f>AVERAGE(AL47:AN47)</f>
        <v>0.2667832296628283</v>
      </c>
      <c r="AP47" s="10">
        <v>0.25</v>
      </c>
      <c r="AQ47" s="10">
        <v>1</v>
      </c>
      <c r="AR47" s="10">
        <v>0.25</v>
      </c>
      <c r="AS47" s="10">
        <f>AF47/32</f>
        <v>0.46875</v>
      </c>
      <c r="AT47" s="10">
        <f>AG47/28</f>
        <v>0.5357142857142857</v>
      </c>
      <c r="AU47" s="10">
        <f>AVERAGE(AP47:AT47)*2</f>
        <v>1.0017857142857143</v>
      </c>
    </row>
    <row r="48" spans="1:55" x14ac:dyDescent="0.3">
      <c r="A48" s="2" t="s">
        <v>559</v>
      </c>
      <c r="B48" s="2" t="s">
        <v>201</v>
      </c>
      <c r="C48" s="2" t="s">
        <v>249</v>
      </c>
      <c r="D48" s="2" t="s">
        <v>244</v>
      </c>
      <c r="E48" s="2" t="s">
        <v>791</v>
      </c>
      <c r="F48" s="2" t="s">
        <v>664</v>
      </c>
      <c r="G48" s="2" t="s">
        <v>651</v>
      </c>
      <c r="H48" s="2" t="s">
        <v>886</v>
      </c>
      <c r="I48" s="2" t="s">
        <v>249</v>
      </c>
      <c r="J48" s="2">
        <v>2</v>
      </c>
      <c r="K48" s="9">
        <v>0.55224033323015997</v>
      </c>
      <c r="L48" s="9">
        <v>1</v>
      </c>
      <c r="M48" s="9">
        <v>4.7689663557237597E-2</v>
      </c>
      <c r="N48" s="4">
        <v>710</v>
      </c>
      <c r="O48" s="6">
        <f>N48/128645</f>
        <v>5.519064091103424E-3</v>
      </c>
      <c r="P48" s="4">
        <v>144</v>
      </c>
      <c r="Q48" s="6">
        <f>P48/118477</f>
        <v>1.215425778843151E-3</v>
      </c>
      <c r="R48" s="4">
        <v>710</v>
      </c>
      <c r="S48" s="6">
        <v>5.519064091103424E-3</v>
      </c>
      <c r="T48" s="2" t="s">
        <v>723</v>
      </c>
      <c r="U48" s="2" t="s">
        <v>722</v>
      </c>
      <c r="V48" s="5">
        <v>4137500</v>
      </c>
      <c r="W48" s="5">
        <v>4137500</v>
      </c>
      <c r="X48" s="5">
        <v>4137500</v>
      </c>
      <c r="Y48" s="5">
        <f>V48/128465</f>
        <v>32.207215973222276</v>
      </c>
      <c r="Z48" s="5">
        <f>W48/128465</f>
        <v>32.207215973222276</v>
      </c>
      <c r="AA48" s="5">
        <f>X48/128465</f>
        <v>32.207215973222276</v>
      </c>
      <c r="AB48" s="6">
        <v>2.63E-2</v>
      </c>
      <c r="AC48" s="6">
        <v>2.63E-2</v>
      </c>
      <c r="AD48" s="6">
        <v>2.63E-2</v>
      </c>
      <c r="AE48" s="2" t="s">
        <v>733</v>
      </c>
      <c r="AF48" s="2">
        <v>16</v>
      </c>
      <c r="AG48" s="2">
        <v>12</v>
      </c>
      <c r="AH48" s="8">
        <f>K48</f>
        <v>0.55224033323015997</v>
      </c>
      <c r="AI48" s="8">
        <f>L48</f>
        <v>1</v>
      </c>
      <c r="AJ48" s="8">
        <f>M48</f>
        <v>4.7689663557237597E-2</v>
      </c>
      <c r="AK48" s="8">
        <f>AVERAGE(AH48:AJ48)</f>
        <v>0.53330999892913256</v>
      </c>
      <c r="AL48" s="11">
        <f>(O48/12.69)*100</f>
        <v>4.3491442798293332E-2</v>
      </c>
      <c r="AM48" s="11">
        <f>(Q48/9.99)*100</f>
        <v>1.2166424212644154E-2</v>
      </c>
      <c r="AN48" s="11">
        <f>(S48/12.69)*100</f>
        <v>4.3491442798293332E-2</v>
      </c>
      <c r="AO48" s="11">
        <f>AVERAGE(AL48:AN48)</f>
        <v>3.3049769936410268E-2</v>
      </c>
      <c r="AP48" s="10">
        <v>0.25</v>
      </c>
      <c r="AQ48" s="10">
        <v>1</v>
      </c>
      <c r="AR48" s="10">
        <v>0.25</v>
      </c>
      <c r="AS48" s="10">
        <f>AF48/32</f>
        <v>0.5</v>
      </c>
      <c r="AT48" s="10">
        <f>AG48/28</f>
        <v>0.42857142857142855</v>
      </c>
      <c r="AU48" s="10">
        <f>AVERAGE(AP48:AT48)*2</f>
        <v>0.97142857142857131</v>
      </c>
      <c r="AV48" s="11">
        <f>Y48/776.02</f>
        <v>4.1503074628517662E-2</v>
      </c>
      <c r="AW48" s="11">
        <f>Z48/639.8</f>
        <v>5.0339506053801622E-2</v>
      </c>
      <c r="AX48" s="11">
        <f>AA48/804.19</f>
        <v>4.0049261957027911E-2</v>
      </c>
      <c r="AY48" s="11">
        <f>AB48</f>
        <v>2.63E-2</v>
      </c>
      <c r="AZ48" s="11">
        <f>AC48</f>
        <v>2.63E-2</v>
      </c>
      <c r="BA48" s="11">
        <f>AD48</f>
        <v>2.63E-2</v>
      </c>
      <c r="BB48" s="10">
        <f>AVERAGE(AV48:BA48)*2</f>
        <v>7.026394754644906E-2</v>
      </c>
      <c r="BC48" s="10">
        <f>AVERAGE(AK48,AO48,AU48,BB48)</f>
        <v>0.4020130719601408</v>
      </c>
    </row>
    <row r="49" spans="1:55" x14ac:dyDescent="0.3">
      <c r="A49" s="2" t="s">
        <v>362</v>
      </c>
      <c r="B49" s="2" t="s">
        <v>58</v>
      </c>
      <c r="C49" s="2" t="s">
        <v>62</v>
      </c>
      <c r="D49" s="2" t="s">
        <v>62</v>
      </c>
      <c r="E49" s="3" t="s">
        <v>62</v>
      </c>
      <c r="F49" s="3" t="s">
        <v>62</v>
      </c>
      <c r="G49" s="2" t="s">
        <v>653</v>
      </c>
      <c r="H49" s="2" t="s">
        <v>887</v>
      </c>
      <c r="I49" s="2" t="s">
        <v>62</v>
      </c>
      <c r="J49" s="2">
        <v>1</v>
      </c>
      <c r="K49" s="9">
        <v>0.57109020904201613</v>
      </c>
      <c r="L49" s="9">
        <v>1</v>
      </c>
      <c r="M49" s="9">
        <v>0.25007468122062793</v>
      </c>
      <c r="N49" s="4">
        <v>5174</v>
      </c>
      <c r="O49" s="6">
        <f>N49/1093007</f>
        <v>4.733729976111772E-3</v>
      </c>
      <c r="P49" s="4">
        <v>21095</v>
      </c>
      <c r="Q49" s="6">
        <f>P49/1093007</f>
        <v>1.9299967886756444E-2</v>
      </c>
      <c r="R49" s="4">
        <v>42110</v>
      </c>
      <c r="S49" s="6">
        <f>R49/1093007</f>
        <v>3.8526743195606249E-2</v>
      </c>
      <c r="T49" s="2" t="s">
        <v>724</v>
      </c>
      <c r="U49" s="2" t="s">
        <v>725</v>
      </c>
      <c r="V49" s="5">
        <v>216480839.93000001</v>
      </c>
      <c r="W49" s="5">
        <v>165746181.16999999</v>
      </c>
      <c r="X49" s="5">
        <v>216480839.93000001</v>
      </c>
      <c r="Y49" s="5">
        <f>V49/1093007</f>
        <v>198.05988427338525</v>
      </c>
      <c r="Z49" s="5">
        <f>W49/1093007</f>
        <v>151.64237847516071</v>
      </c>
      <c r="AA49" s="5">
        <f>X49/1093007</f>
        <v>198.05988427338525</v>
      </c>
      <c r="AB49" s="6">
        <v>0.1</v>
      </c>
      <c r="AC49" s="6">
        <v>0.1</v>
      </c>
      <c r="AD49" s="6">
        <v>0.1</v>
      </c>
      <c r="AE49" s="2" t="s">
        <v>760</v>
      </c>
      <c r="AF49" s="2">
        <v>8</v>
      </c>
      <c r="AG49" s="2">
        <v>4</v>
      </c>
      <c r="AH49" s="8">
        <f>K49</f>
        <v>0.57109020904201613</v>
      </c>
      <c r="AI49" s="8">
        <f>L49</f>
        <v>1</v>
      </c>
      <c r="AJ49" s="8">
        <f>M49</f>
        <v>0.25007468122062793</v>
      </c>
      <c r="AK49" s="8">
        <f>AVERAGE(AH49:AJ49)</f>
        <v>0.60705496342088139</v>
      </c>
      <c r="AL49" s="11">
        <f>(O49/12.69)*100</f>
        <v>3.7302836691188113E-2</v>
      </c>
      <c r="AM49" s="11">
        <f>(Q49/9.99)*100</f>
        <v>0.19319287173930375</v>
      </c>
      <c r="AN49" s="11">
        <f>(S49/12.69)*100</f>
        <v>0.30359923716001774</v>
      </c>
      <c r="AO49" s="11">
        <f>AVERAGE(AL49:AN49)</f>
        <v>0.17803164853016987</v>
      </c>
      <c r="AP49" s="10">
        <v>1</v>
      </c>
      <c r="AQ49" s="10">
        <v>0</v>
      </c>
      <c r="AR49" s="10">
        <v>1</v>
      </c>
      <c r="AS49" s="10">
        <f>AF49/32</f>
        <v>0.25</v>
      </c>
      <c r="AT49" s="10">
        <f>AG49/28</f>
        <v>0.14285714285714285</v>
      </c>
      <c r="AU49" s="10">
        <f>AVERAGE(AP49:AT49)*2</f>
        <v>0.95714285714285707</v>
      </c>
      <c r="AV49" s="11">
        <f>Y49/776.02</f>
        <v>0.25522523166076294</v>
      </c>
      <c r="AW49" s="11">
        <f>Z49/639.8</f>
        <v>0.23701528364357724</v>
      </c>
      <c r="AX49" s="11">
        <f>AA49/804.19</f>
        <v>0.2462849379790662</v>
      </c>
      <c r="AY49" s="11">
        <f>AB49</f>
        <v>0.1</v>
      </c>
      <c r="AZ49" s="11">
        <f>AC49</f>
        <v>0.1</v>
      </c>
      <c r="BA49" s="11">
        <f>AD49</f>
        <v>0.1</v>
      </c>
      <c r="BB49" s="10">
        <f>AVERAGE(AV49:BA49)*2</f>
        <v>0.34617515109446884</v>
      </c>
      <c r="BC49" s="10">
        <f>AVERAGE(AK49,AO49,AU49,BB49)</f>
        <v>0.5221011550470942</v>
      </c>
    </row>
    <row r="50" spans="1:55" x14ac:dyDescent="0.3">
      <c r="A50" s="2">
        <v>3542602</v>
      </c>
      <c r="B50" s="2" t="s">
        <v>201</v>
      </c>
      <c r="E50" s="2" t="s">
        <v>786</v>
      </c>
      <c r="F50" s="2" t="s">
        <v>662</v>
      </c>
      <c r="G50" s="2" t="s">
        <v>655</v>
      </c>
      <c r="H50" s="2" t="s">
        <v>888</v>
      </c>
      <c r="I50" s="2" t="s">
        <v>249</v>
      </c>
      <c r="K50" s="9">
        <v>0.71081607132975555</v>
      </c>
      <c r="L50" s="9">
        <v>0.98902851850418227</v>
      </c>
      <c r="M50" s="9">
        <v>0.46820053932015621</v>
      </c>
      <c r="N50" s="4">
        <v>6000</v>
      </c>
      <c r="O50" s="6">
        <f>N50/63034</f>
        <v>9.5186724624805666E-2</v>
      </c>
      <c r="P50" s="4">
        <v>6000</v>
      </c>
      <c r="Q50" s="6">
        <f>O50</f>
        <v>9.5186724624805666E-2</v>
      </c>
      <c r="R50" s="4">
        <v>6000</v>
      </c>
      <c r="S50" s="6">
        <v>9.5186724624805666E-2</v>
      </c>
      <c r="T50" s="2" t="s">
        <v>724</v>
      </c>
      <c r="U50" s="2" t="s">
        <v>722</v>
      </c>
      <c r="V50" s="5">
        <v>300000</v>
      </c>
      <c r="W50" s="5">
        <v>300000</v>
      </c>
      <c r="X50" s="5">
        <v>300000</v>
      </c>
      <c r="Y50" s="5">
        <f>V50/63034</f>
        <v>4.7593362312402832</v>
      </c>
      <c r="Z50" s="5">
        <f>W50/63034</f>
        <v>4.7593362312402832</v>
      </c>
      <c r="AA50" s="5">
        <f>X50/63034</f>
        <v>4.7593362312402832</v>
      </c>
      <c r="AE50" s="1" t="s">
        <v>782</v>
      </c>
      <c r="AF50" s="2">
        <v>2</v>
      </c>
      <c r="AG50" s="2">
        <v>2</v>
      </c>
      <c r="AH50" s="8">
        <f>K50</f>
        <v>0.71081607132975555</v>
      </c>
      <c r="AI50" s="8">
        <f>L50</f>
        <v>0.98902851850418227</v>
      </c>
      <c r="AJ50" s="8">
        <f>M50</f>
        <v>0.46820053932015621</v>
      </c>
      <c r="AK50" s="8">
        <f>AVERAGE(AH50:AJ50)</f>
        <v>0.72268170971803125</v>
      </c>
      <c r="AL50" s="11">
        <f>(O50/12.69)*100</f>
        <v>0.75009239263046235</v>
      </c>
      <c r="AM50" s="11">
        <f>(Q50/9.99)*100</f>
        <v>0.95282006631437111</v>
      </c>
      <c r="AN50" s="11">
        <f>(S50/12.69)*100</f>
        <v>0.75009239263046235</v>
      </c>
      <c r="AO50" s="11">
        <f>AVERAGE(AL50:AN50)</f>
        <v>0.81766828385843182</v>
      </c>
      <c r="AP50" s="10">
        <v>1</v>
      </c>
      <c r="AQ50" s="10">
        <v>1</v>
      </c>
      <c r="AR50" s="10">
        <v>0.25</v>
      </c>
      <c r="AS50" s="10">
        <f>AF50/32</f>
        <v>6.25E-2</v>
      </c>
      <c r="AT50" s="10">
        <f>AG50/28</f>
        <v>7.1428571428571425E-2</v>
      </c>
      <c r="AU50" s="10">
        <f>AVERAGE(AP50:AT50)*2</f>
        <v>0.95357142857142863</v>
      </c>
      <c r="AV50" s="11">
        <f>Y50/776.02</f>
        <v>6.1330071792483221E-3</v>
      </c>
      <c r="AW50" s="11">
        <f>Z50/639.8</f>
        <v>7.4387874824011933E-3</v>
      </c>
      <c r="AX50" s="11">
        <f>AA50/804.19</f>
        <v>5.9181738534926859E-3</v>
      </c>
      <c r="AY50" s="11"/>
    </row>
    <row r="51" spans="1:55" x14ac:dyDescent="0.3">
      <c r="A51" s="2" t="s">
        <v>345</v>
      </c>
      <c r="B51" s="2" t="s">
        <v>49</v>
      </c>
      <c r="C51" s="2" t="s">
        <v>650</v>
      </c>
      <c r="D51" s="2" t="s">
        <v>650</v>
      </c>
      <c r="E51" s="3" t="s">
        <v>50</v>
      </c>
      <c r="F51" s="3" t="s">
        <v>50</v>
      </c>
      <c r="G51" s="2" t="s">
        <v>658</v>
      </c>
      <c r="H51" s="2" t="s">
        <v>887</v>
      </c>
      <c r="I51" s="2" t="s">
        <v>50</v>
      </c>
      <c r="J51" s="2">
        <v>1</v>
      </c>
      <c r="K51" s="7"/>
      <c r="L51" s="7"/>
      <c r="M51" s="7"/>
      <c r="N51" s="4">
        <v>11866</v>
      </c>
      <c r="O51" s="6">
        <f>N51/2570160</f>
        <v>4.6168331932642326E-3</v>
      </c>
      <c r="P51" s="4">
        <v>22629</v>
      </c>
      <c r="Q51" s="6">
        <f>P51/2310653</f>
        <v>9.7933354770274889E-3</v>
      </c>
      <c r="R51" s="4">
        <v>37701</v>
      </c>
      <c r="S51" s="6">
        <f>R51/1826120</f>
        <v>2.0645412130637635E-2</v>
      </c>
      <c r="T51" s="2" t="s">
        <v>724</v>
      </c>
      <c r="U51" s="2" t="s">
        <v>725</v>
      </c>
      <c r="V51" s="5">
        <v>828247833.65999997</v>
      </c>
      <c r="W51" s="5">
        <v>964040948.67999995</v>
      </c>
      <c r="X51" s="5">
        <v>1037153987.5</v>
      </c>
      <c r="Y51" s="5">
        <f>V51/2051146</f>
        <v>403.79760078512203</v>
      </c>
      <c r="Z51" s="5">
        <f>W51/2051146</f>
        <v>470.0011353067992</v>
      </c>
      <c r="AA51" s="5">
        <f>X51/1826210</f>
        <v>567.92701140613622</v>
      </c>
      <c r="AB51" s="6">
        <v>4.3999999999999997E-2</v>
      </c>
      <c r="AC51" s="6">
        <v>0.03</v>
      </c>
      <c r="AD51" s="6">
        <v>4.3999999999999997E-2</v>
      </c>
      <c r="AE51" s="1" t="s">
        <v>742</v>
      </c>
      <c r="AF51" s="2">
        <v>7</v>
      </c>
      <c r="AG51" s="2">
        <v>4</v>
      </c>
      <c r="AH51" s="8">
        <f>K51</f>
        <v>0</v>
      </c>
      <c r="AI51" s="8">
        <f>L51</f>
        <v>0</v>
      </c>
      <c r="AJ51" s="8">
        <f>M51</f>
        <v>0</v>
      </c>
      <c r="AK51" s="14">
        <f>AVERAGE(AH51:AJ51)</f>
        <v>0</v>
      </c>
      <c r="AL51" s="11">
        <f>(O51/12.69)*100</f>
        <v>3.6381664249521141E-2</v>
      </c>
      <c r="AM51" s="11">
        <f>(Q51/9.99)*100</f>
        <v>9.8031386156431324E-2</v>
      </c>
      <c r="AN51" s="11">
        <f>(S51/12.69)*100</f>
        <v>0.16269040292070633</v>
      </c>
      <c r="AO51" s="11">
        <f>AVERAGE(AL51:AN51)</f>
        <v>9.9034484442219586E-2</v>
      </c>
      <c r="AP51" s="10">
        <v>1</v>
      </c>
      <c r="AQ51" s="10">
        <v>0</v>
      </c>
      <c r="AR51" s="10">
        <v>1</v>
      </c>
      <c r="AS51" s="10">
        <f>AF51/32</f>
        <v>0.21875</v>
      </c>
      <c r="AT51" s="10">
        <f>AG51/28</f>
        <v>0.14285714285714285</v>
      </c>
      <c r="AU51" s="10">
        <f>AVERAGE(AP51:AT51)*2</f>
        <v>0.94464285714285712</v>
      </c>
      <c r="AV51" s="11">
        <f>Y51/776.02</f>
        <v>0.52034432203438319</v>
      </c>
      <c r="AW51" s="11">
        <f>Z51/639.8</f>
        <v>0.73460633839762302</v>
      </c>
      <c r="AX51" s="11">
        <f>AA51/804.19</f>
        <v>0.70620998943798874</v>
      </c>
      <c r="AY51" s="11">
        <f>AB51</f>
        <v>4.3999999999999997E-2</v>
      </c>
      <c r="AZ51" s="11">
        <f>AC51</f>
        <v>0.03</v>
      </c>
      <c r="BA51" s="11">
        <f>AD51</f>
        <v>4.3999999999999997E-2</v>
      </c>
      <c r="BB51" s="10">
        <f>AVERAGE(AV51:BA51)*2</f>
        <v>0.6930535499566649</v>
      </c>
    </row>
    <row r="52" spans="1:55" x14ac:dyDescent="0.3">
      <c r="A52" s="2" t="s">
        <v>348</v>
      </c>
      <c r="B52" s="2" t="s">
        <v>52</v>
      </c>
      <c r="C52" s="2" t="s">
        <v>57</v>
      </c>
      <c r="D52" s="2" t="s">
        <v>57</v>
      </c>
      <c r="E52" s="3" t="s">
        <v>827</v>
      </c>
      <c r="F52" s="3" t="s">
        <v>57</v>
      </c>
      <c r="G52" s="2" t="s">
        <v>653</v>
      </c>
      <c r="H52" s="2" t="s">
        <v>884</v>
      </c>
      <c r="I52" s="2" t="s">
        <v>57</v>
      </c>
      <c r="J52" s="2">
        <v>1</v>
      </c>
      <c r="K52" s="9">
        <v>0.81546054316415995</v>
      </c>
      <c r="L52" s="9">
        <v>0.94572002285857071</v>
      </c>
      <c r="M52" s="9">
        <v>0.6852760036299419</v>
      </c>
      <c r="N52" s="4">
        <v>945</v>
      </c>
      <c r="O52" s="6">
        <f>N52/348738</f>
        <v>2.7097706587753557E-3</v>
      </c>
      <c r="P52" s="4">
        <v>5705</v>
      </c>
      <c r="Q52" s="6">
        <f>P52/348738</f>
        <v>1.6358985828903074E-2</v>
      </c>
      <c r="R52" s="4">
        <v>6300</v>
      </c>
      <c r="S52" s="6">
        <f>R52/348738</f>
        <v>1.8065137725169038E-2</v>
      </c>
      <c r="T52" s="2" t="s">
        <v>721</v>
      </c>
      <c r="U52" s="2" t="s">
        <v>725</v>
      </c>
      <c r="V52" s="5">
        <v>36122724</v>
      </c>
      <c r="W52" s="5">
        <v>40141816</v>
      </c>
      <c r="X52" s="5">
        <v>45140936</v>
      </c>
      <c r="Y52" s="5">
        <f>V52/348738</f>
        <v>103.58126731242365</v>
      </c>
      <c r="Z52" s="5">
        <f>W52/348738</f>
        <v>115.10594199657049</v>
      </c>
      <c r="AA52" s="5">
        <f>X52/348738</f>
        <v>129.44082950524464</v>
      </c>
      <c r="AE52" s="2" t="s">
        <v>698</v>
      </c>
      <c r="AF52" s="2">
        <v>20</v>
      </c>
      <c r="AG52" s="2">
        <v>20</v>
      </c>
      <c r="AH52" s="8">
        <f>K52</f>
        <v>0.81546054316415995</v>
      </c>
      <c r="AI52" s="8">
        <f>L52</f>
        <v>0.94572002285857071</v>
      </c>
      <c r="AJ52" s="8">
        <f>M52</f>
        <v>0.6852760036299419</v>
      </c>
      <c r="AK52" s="8">
        <f>AVERAGE(AH52:AJ52)</f>
        <v>0.81548552321755752</v>
      </c>
      <c r="AL52" s="11">
        <f>(O52/12.69)*100</f>
        <v>2.135359069168917E-2</v>
      </c>
      <c r="AM52" s="11">
        <f>(Q52/9.99)*100</f>
        <v>0.16375361190093168</v>
      </c>
      <c r="AN52" s="11">
        <f>(S52/12.69)*100</f>
        <v>0.1423572712779278</v>
      </c>
      <c r="AO52" s="11">
        <f>AVERAGE(AL52:AN52)</f>
        <v>0.10915482462351622</v>
      </c>
      <c r="AP52" s="10">
        <v>0.75</v>
      </c>
      <c r="AQ52" s="10">
        <v>0</v>
      </c>
      <c r="AR52" s="10">
        <v>0.25</v>
      </c>
      <c r="AS52" s="10">
        <f>AF52/32</f>
        <v>0.625</v>
      </c>
      <c r="AT52" s="10">
        <f>AG52/28</f>
        <v>0.7142857142857143</v>
      </c>
      <c r="AU52" s="10">
        <f>AVERAGE(AP52:AT52)*2</f>
        <v>0.93571428571428572</v>
      </c>
      <c r="AV52" s="11">
        <f>Y52/776.02</f>
        <v>0.13347757443419456</v>
      </c>
      <c r="AW52" s="11">
        <f>Z52/639.8</f>
        <v>0.17990925601214519</v>
      </c>
      <c r="AX52" s="11">
        <f>AA52/804.19</f>
        <v>0.16095801925570402</v>
      </c>
      <c r="AY52" s="11"/>
    </row>
    <row r="53" spans="1:55" x14ac:dyDescent="0.3">
      <c r="A53" s="2" t="s">
        <v>432</v>
      </c>
      <c r="B53" s="2" t="s">
        <v>117</v>
      </c>
      <c r="C53" s="2" t="s">
        <v>124</v>
      </c>
      <c r="D53" s="2" t="s">
        <v>124</v>
      </c>
      <c r="E53" s="2" t="s">
        <v>794</v>
      </c>
      <c r="F53" s="2" t="s">
        <v>124</v>
      </c>
      <c r="G53" s="2" t="s">
        <v>653</v>
      </c>
      <c r="H53" s="2" t="s">
        <v>884</v>
      </c>
      <c r="I53" s="2" t="s">
        <v>124</v>
      </c>
      <c r="J53" s="2">
        <v>1</v>
      </c>
      <c r="K53" s="9">
        <v>0.61331623489380105</v>
      </c>
      <c r="L53" s="9">
        <v>0.93260745193595185</v>
      </c>
      <c r="M53" s="9">
        <v>0.4220188769101863</v>
      </c>
      <c r="N53" s="4">
        <v>8386</v>
      </c>
      <c r="O53" s="6">
        <f>N53/367902</f>
        <v>2.2794113649830663E-2</v>
      </c>
      <c r="P53" s="4">
        <v>6840</v>
      </c>
      <c r="Q53" s="6">
        <f>P53/367902</f>
        <v>1.8591907627574733E-2</v>
      </c>
      <c r="R53" s="4">
        <v>8413</v>
      </c>
      <c r="S53" s="6">
        <f>R53/367902</f>
        <v>2.2867502758886878E-2</v>
      </c>
      <c r="T53" s="2" t="s">
        <v>724</v>
      </c>
      <c r="U53" s="2" t="s">
        <v>725</v>
      </c>
      <c r="V53" s="5">
        <v>7337104.4299999997</v>
      </c>
      <c r="W53" s="5">
        <v>7337104.4299999997</v>
      </c>
      <c r="X53" s="5">
        <v>7337104.4299999997</v>
      </c>
      <c r="Y53" s="5">
        <f>V53/367702</f>
        <v>19.953942132487722</v>
      </c>
      <c r="Z53" s="5">
        <f>W53/367702</f>
        <v>19.953942132487722</v>
      </c>
      <c r="AA53" s="5">
        <f>X53/367702</f>
        <v>19.953942132487722</v>
      </c>
      <c r="AE53" s="2" t="s">
        <v>692</v>
      </c>
      <c r="AF53" s="2">
        <v>16</v>
      </c>
      <c r="AG53" s="2">
        <v>16</v>
      </c>
      <c r="AH53" s="8">
        <f>K53</f>
        <v>0.61331623489380105</v>
      </c>
      <c r="AI53" s="8">
        <f>L53</f>
        <v>0.93260745193595185</v>
      </c>
      <c r="AJ53" s="8">
        <f>M53</f>
        <v>0.4220188769101863</v>
      </c>
      <c r="AK53" s="8">
        <f>AVERAGE(AH53:AJ53)</f>
        <v>0.65598085457997968</v>
      </c>
      <c r="AL53" s="11">
        <f>(O53/12.69)*100</f>
        <v>0.17962264499472547</v>
      </c>
      <c r="AM53" s="11">
        <f>(Q53/9.99)*100</f>
        <v>0.18610518145720453</v>
      </c>
      <c r="AN53" s="11">
        <f>(S53/12.69)*100</f>
        <v>0.18020096736711488</v>
      </c>
      <c r="AO53" s="11">
        <f>AVERAGE(AL53:AN53)</f>
        <v>0.1819762646063483</v>
      </c>
      <c r="AP53" s="10">
        <v>1</v>
      </c>
      <c r="AQ53" s="10">
        <v>0</v>
      </c>
      <c r="AR53" s="10">
        <v>0.25</v>
      </c>
      <c r="AS53" s="10">
        <f>AF53/32</f>
        <v>0.5</v>
      </c>
      <c r="AT53" s="10">
        <f>AG53/28</f>
        <v>0.5714285714285714</v>
      </c>
      <c r="AU53" s="10">
        <f>AVERAGE(AP53:AT53)*2</f>
        <v>0.92857142857142849</v>
      </c>
      <c r="AV53" s="11">
        <f>Y53/776.02</f>
        <v>2.5713180243405739E-2</v>
      </c>
      <c r="AW53" s="11">
        <f>Z53/639.8</f>
        <v>3.118778076350066E-2</v>
      </c>
      <c r="AX53" s="11">
        <f>AA53/804.19</f>
        <v>2.4812472341719894E-2</v>
      </c>
      <c r="AY53" s="11"/>
    </row>
    <row r="54" spans="1:55" x14ac:dyDescent="0.3">
      <c r="A54" s="2" t="s">
        <v>521</v>
      </c>
      <c r="B54" s="2" t="s">
        <v>186</v>
      </c>
      <c r="C54" s="2" t="s">
        <v>189</v>
      </c>
      <c r="D54" s="2" t="s">
        <v>190</v>
      </c>
      <c r="E54" s="2" t="s">
        <v>190</v>
      </c>
      <c r="F54" s="2" t="s">
        <v>662</v>
      </c>
      <c r="G54" s="2" t="s">
        <v>655</v>
      </c>
      <c r="H54" s="2" t="s">
        <v>888</v>
      </c>
      <c r="I54" s="2" t="s">
        <v>189</v>
      </c>
      <c r="J54" s="2">
        <v>3</v>
      </c>
      <c r="K54" s="9">
        <v>0.77592633492712693</v>
      </c>
      <c r="L54" s="9">
        <v>1</v>
      </c>
      <c r="M54" s="9">
        <v>0.42966341091820931</v>
      </c>
      <c r="N54" s="4">
        <v>8000</v>
      </c>
      <c r="O54" s="6">
        <f>N54/63058</f>
        <v>0.12686732849123031</v>
      </c>
      <c r="P54" s="4">
        <v>6300</v>
      </c>
      <c r="Q54" s="6">
        <f>P54/63058</f>
        <v>9.9908021186843859E-2</v>
      </c>
      <c r="R54" s="4">
        <v>8000</v>
      </c>
      <c r="S54" s="6">
        <v>0.12686732849123031</v>
      </c>
      <c r="T54" s="2" t="s">
        <v>724</v>
      </c>
      <c r="U54" s="2" t="s">
        <v>725</v>
      </c>
      <c r="V54" s="5">
        <v>11267160.18</v>
      </c>
      <c r="W54" s="5">
        <v>8173753.9800000004</v>
      </c>
      <c r="X54" s="5">
        <v>11267160.18</v>
      </c>
      <c r="Y54" s="5">
        <f>V54/63058</f>
        <v>178.67931396492119</v>
      </c>
      <c r="Z54" s="5">
        <f>W54/63058</f>
        <v>129.62279139839512</v>
      </c>
      <c r="AA54" s="5">
        <f>X54/63058</f>
        <v>178.67931396492119</v>
      </c>
      <c r="AB54" s="6">
        <v>0.26</v>
      </c>
      <c r="AC54" s="6">
        <v>0.26</v>
      </c>
      <c r="AD54" s="6">
        <v>0.26</v>
      </c>
      <c r="AE54" s="2" t="s">
        <v>692</v>
      </c>
      <c r="AF54" s="2">
        <v>16</v>
      </c>
      <c r="AG54" s="2">
        <v>16</v>
      </c>
      <c r="AH54" s="8">
        <f>K54</f>
        <v>0.77592633492712693</v>
      </c>
      <c r="AI54" s="8">
        <f>L54</f>
        <v>1</v>
      </c>
      <c r="AJ54" s="8">
        <f>M54</f>
        <v>0.42966341091820931</v>
      </c>
      <c r="AK54" s="8">
        <f>AVERAGE(AH54:AJ54)</f>
        <v>0.7351965819484455</v>
      </c>
      <c r="AL54" s="11">
        <f>(O54/12.69)*100</f>
        <v>0.99974254130205131</v>
      </c>
      <c r="AM54" s="11">
        <f>(Q54/9.99)*100</f>
        <v>1.0000802921605993</v>
      </c>
      <c r="AN54" s="11">
        <f>(S54/12.69)*100</f>
        <v>0.99974254130205131</v>
      </c>
      <c r="AO54" s="11">
        <f>AVERAGE(AL54:AN54)</f>
        <v>0.99985512492156736</v>
      </c>
      <c r="AP54" s="10">
        <v>1</v>
      </c>
      <c r="AQ54" s="10">
        <v>0</v>
      </c>
      <c r="AR54" s="10">
        <v>0.25</v>
      </c>
      <c r="AS54" s="10">
        <f>AF54/32</f>
        <v>0.5</v>
      </c>
      <c r="AT54" s="10">
        <f>AG54/28</f>
        <v>0.5714285714285714</v>
      </c>
      <c r="AU54" s="10">
        <f>AVERAGE(AP54:AT54)*2</f>
        <v>0.92857142857142849</v>
      </c>
      <c r="AV54" s="11">
        <f>Y54/776.02</f>
        <v>0.23025091359104302</v>
      </c>
      <c r="AW54" s="11">
        <f>Z54/639.8</f>
        <v>0.20259892372365604</v>
      </c>
      <c r="AX54" s="11">
        <f>AA54/804.19</f>
        <v>0.22218544618177444</v>
      </c>
      <c r="AY54" s="11">
        <f>AB54</f>
        <v>0.26</v>
      </c>
      <c r="AZ54" s="11">
        <f>AC54</f>
        <v>0.26</v>
      </c>
      <c r="BA54" s="11">
        <f>AD54</f>
        <v>0.26</v>
      </c>
      <c r="BB54" s="10">
        <f>AVERAGE(AV54:BA54)*2</f>
        <v>0.47834509449882451</v>
      </c>
      <c r="BC54" s="10">
        <f>AVERAGE(AK54,AO54,AU54,BB54)</f>
        <v>0.78549205748506645</v>
      </c>
    </row>
    <row r="55" spans="1:55" x14ac:dyDescent="0.3">
      <c r="A55" s="2" t="s">
        <v>318</v>
      </c>
      <c r="B55" s="2" t="s">
        <v>27</v>
      </c>
      <c r="C55" s="2" t="s">
        <v>36</v>
      </c>
      <c r="D55" s="2" t="s">
        <v>28</v>
      </c>
      <c r="E55" s="3" t="s">
        <v>28</v>
      </c>
      <c r="F55" s="2" t="s">
        <v>662</v>
      </c>
      <c r="G55" s="2" t="s">
        <v>654</v>
      </c>
      <c r="H55" s="2" t="s">
        <v>888</v>
      </c>
      <c r="I55" s="2" t="s">
        <v>36</v>
      </c>
      <c r="J55" s="2">
        <v>3</v>
      </c>
      <c r="K55" s="9">
        <v>0.61936266719398447</v>
      </c>
      <c r="L55" s="9">
        <v>0.61321544107594161</v>
      </c>
      <c r="M55" s="9">
        <v>0.5816911791759114</v>
      </c>
      <c r="N55" s="4">
        <f>45000/8</f>
        <v>5625</v>
      </c>
      <c r="O55" s="6">
        <f>N55/136022</f>
        <v>4.135360456396759E-2</v>
      </c>
      <c r="P55" s="4">
        <f>N55</f>
        <v>5625</v>
      </c>
      <c r="Q55" s="6">
        <f>O55</f>
        <v>4.135360456396759E-2</v>
      </c>
      <c r="R55" s="4">
        <v>5625</v>
      </c>
      <c r="S55" s="6">
        <v>4.135360456396759E-2</v>
      </c>
      <c r="T55" s="2" t="s">
        <v>724</v>
      </c>
      <c r="U55" s="2" t="s">
        <v>725</v>
      </c>
      <c r="V55" s="5">
        <v>11622064.08</v>
      </c>
      <c r="W55" s="5">
        <f>65570140/8</f>
        <v>8196267.5</v>
      </c>
      <c r="X55" s="5">
        <v>16783917.68</v>
      </c>
      <c r="Y55" s="5">
        <f>V55/141949</f>
        <v>81.874927473951914</v>
      </c>
      <c r="Z55" s="5">
        <f>W55/136022</f>
        <v>60.256925350310979</v>
      </c>
      <c r="AA55" s="5">
        <f>X55/130095</f>
        <v>129.0127805065529</v>
      </c>
      <c r="AB55" s="6">
        <v>8.4900000000000003E-2</v>
      </c>
      <c r="AC55" s="6">
        <v>7.4999999999999997E-2</v>
      </c>
      <c r="AD55" s="6">
        <v>8.4900000000000003E-2</v>
      </c>
      <c r="AE55" s="2" t="s">
        <v>692</v>
      </c>
      <c r="AF55" s="2">
        <v>16</v>
      </c>
      <c r="AG55" s="2">
        <v>16</v>
      </c>
      <c r="AH55" s="8">
        <f>K55</f>
        <v>0.61936266719398447</v>
      </c>
      <c r="AI55" s="8">
        <f>L55</f>
        <v>0.61321544107594161</v>
      </c>
      <c r="AJ55" s="8">
        <f>M55</f>
        <v>0.5816911791759114</v>
      </c>
      <c r="AK55" s="8">
        <f>AVERAGE(AH55:AJ55)</f>
        <v>0.6047564291486125</v>
      </c>
      <c r="AL55" s="11">
        <f>(O55/12.69)*100</f>
        <v>0.32587552847886203</v>
      </c>
      <c r="AM55" s="11">
        <f>(Q55/9.99)*100</f>
        <v>0.41394999563531115</v>
      </c>
      <c r="AN55" s="11">
        <f>(S55/12.69)*100</f>
        <v>0.32587552847886203</v>
      </c>
      <c r="AO55" s="11">
        <f>AVERAGE(AL55:AN55)</f>
        <v>0.35523368419767837</v>
      </c>
      <c r="AP55" s="10">
        <v>1</v>
      </c>
      <c r="AQ55" s="10">
        <v>0</v>
      </c>
      <c r="AR55" s="10">
        <v>0.25</v>
      </c>
      <c r="AS55" s="10">
        <f>AF55/32</f>
        <v>0.5</v>
      </c>
      <c r="AT55" s="10">
        <f>AG55/28</f>
        <v>0.5714285714285714</v>
      </c>
      <c r="AU55" s="10">
        <f>AVERAGE(AP55:AT55)*2</f>
        <v>0.92857142857142849</v>
      </c>
      <c r="AV55" s="11">
        <f>Y55/776.02</f>
        <v>0.10550620792499152</v>
      </c>
      <c r="AW55" s="11">
        <f>Z55/639.8</f>
        <v>9.4180877384043432E-2</v>
      </c>
      <c r="AX55" s="11">
        <f>AA55/804.19</f>
        <v>0.16042574578961799</v>
      </c>
      <c r="AY55" s="11">
        <f>AB55</f>
        <v>8.4900000000000003E-2</v>
      </c>
      <c r="AZ55" s="11">
        <f>AC55</f>
        <v>7.4999999999999997E-2</v>
      </c>
      <c r="BA55" s="11">
        <f>AD55</f>
        <v>8.4900000000000003E-2</v>
      </c>
      <c r="BB55" s="10">
        <f>AVERAGE(AV55:BA55)*2</f>
        <v>0.20163761036621763</v>
      </c>
      <c r="BC55" s="10">
        <f>AVERAGE(AK55,AO55,AU55,BB55)</f>
        <v>0.52254978807098418</v>
      </c>
    </row>
    <row r="56" spans="1:55" x14ac:dyDescent="0.3">
      <c r="A56" s="2" t="s">
        <v>419</v>
      </c>
      <c r="B56" s="2" t="s">
        <v>108</v>
      </c>
      <c r="C56" s="2" t="s">
        <v>110</v>
      </c>
      <c r="D56" s="2" t="s">
        <v>110</v>
      </c>
      <c r="E56" s="2" t="s">
        <v>812</v>
      </c>
      <c r="F56" s="2" t="s">
        <v>110</v>
      </c>
      <c r="G56" s="2" t="s">
        <v>653</v>
      </c>
      <c r="H56" s="2" t="s">
        <v>887</v>
      </c>
      <c r="I56" s="2" t="s">
        <v>110</v>
      </c>
      <c r="J56" s="2">
        <v>2</v>
      </c>
      <c r="K56" s="9">
        <v>0.66791549318148768</v>
      </c>
      <c r="L56" s="9">
        <v>1</v>
      </c>
      <c r="M56" s="9">
        <v>0.61182978278580624</v>
      </c>
      <c r="N56" s="4">
        <v>150000</v>
      </c>
      <c r="O56" s="6">
        <f>N56/1280614</f>
        <v>0.11713131357302044</v>
      </c>
      <c r="P56" s="4">
        <v>60000</v>
      </c>
      <c r="Q56" s="6">
        <f>P56/1280614</f>
        <v>4.6852525429208175E-2</v>
      </c>
      <c r="R56" s="4">
        <f>N56</f>
        <v>150000</v>
      </c>
      <c r="S56" s="6">
        <f>O56</f>
        <v>0.11713131357302044</v>
      </c>
      <c r="T56" s="2" t="s">
        <v>724</v>
      </c>
      <c r="U56" s="2" t="s">
        <v>725</v>
      </c>
      <c r="V56" s="5">
        <v>43312093.399999999</v>
      </c>
      <c r="W56" s="5">
        <v>104615115.01000001</v>
      </c>
      <c r="X56" s="5">
        <v>165987577.80000001</v>
      </c>
      <c r="Y56" s="5">
        <f>V56/1280614</f>
        <v>33.821349290262326</v>
      </c>
      <c r="Z56" s="5">
        <f>W56/1280614</f>
        <v>81.691372271426062</v>
      </c>
      <c r="AA56" s="5">
        <f>X56/1280614</f>
        <v>129.61562016345286</v>
      </c>
      <c r="AB56" s="6">
        <v>1</v>
      </c>
      <c r="AC56" s="6">
        <v>0.77</v>
      </c>
      <c r="AD56" s="6">
        <v>1</v>
      </c>
      <c r="AE56" s="2" t="s">
        <v>678</v>
      </c>
      <c r="AF56" s="2">
        <v>8</v>
      </c>
      <c r="AG56" s="2">
        <v>8</v>
      </c>
      <c r="AH56" s="8">
        <f>K56</f>
        <v>0.66791549318148768</v>
      </c>
      <c r="AI56" s="8">
        <f>L56</f>
        <v>1</v>
      </c>
      <c r="AJ56" s="8">
        <f>M56</f>
        <v>0.61182978278580624</v>
      </c>
      <c r="AK56" s="8">
        <f>AVERAGE(AH56:AJ56)</f>
        <v>0.75991509198909801</v>
      </c>
      <c r="AL56" s="11">
        <f>(O56/12.69)*100</f>
        <v>0.92302059553207605</v>
      </c>
      <c r="AM56" s="11">
        <f>(Q56/9.99)*100</f>
        <v>0.46899424854062238</v>
      </c>
      <c r="AN56" s="11">
        <f>(S56/12.69)*100</f>
        <v>0.92302059553207605</v>
      </c>
      <c r="AO56" s="11">
        <f>AVERAGE(AL56:AN56)</f>
        <v>0.77167847986825822</v>
      </c>
      <c r="AP56" s="10">
        <v>1</v>
      </c>
      <c r="AQ56" s="10">
        <v>0</v>
      </c>
      <c r="AR56" s="10">
        <v>0.75</v>
      </c>
      <c r="AS56" s="10">
        <f>AF56/32</f>
        <v>0.25</v>
      </c>
      <c r="AT56" s="10">
        <f>AG56/28</f>
        <v>0.2857142857142857</v>
      </c>
      <c r="AU56" s="10">
        <f>AVERAGE(AP56:AT56)*2</f>
        <v>0.91428571428571426</v>
      </c>
      <c r="AV56" s="11">
        <f>Y56/776.02</f>
        <v>4.3583089727406932E-2</v>
      </c>
      <c r="AW56" s="11">
        <f>Z56/639.8</f>
        <v>0.12768267000848088</v>
      </c>
      <c r="AX56" s="11">
        <f>AA56/804.19</f>
        <v>0.1611753692080887</v>
      </c>
      <c r="AY56" s="11">
        <f>AB56</f>
        <v>1</v>
      </c>
      <c r="AZ56" s="11">
        <f>AC56</f>
        <v>0.77</v>
      </c>
      <c r="BA56" s="11">
        <f>AD56</f>
        <v>1</v>
      </c>
      <c r="BB56" s="10">
        <f>AVERAGE(AV56:BA56)*2</f>
        <v>1.0341470429813255</v>
      </c>
      <c r="BC56" s="10">
        <f>AVERAGE(AK56,AO56,AU56,BB56)</f>
        <v>0.87000658228109895</v>
      </c>
    </row>
    <row r="57" spans="1:55" x14ac:dyDescent="0.3">
      <c r="A57" s="2" t="s">
        <v>449</v>
      </c>
      <c r="B57" s="2" t="s">
        <v>131</v>
      </c>
      <c r="C57" s="2" t="s">
        <v>140</v>
      </c>
      <c r="D57" s="2" t="s">
        <v>140</v>
      </c>
      <c r="E57" s="2" t="s">
        <v>140</v>
      </c>
      <c r="F57" s="2" t="s">
        <v>140</v>
      </c>
      <c r="G57" s="2" t="s">
        <v>656</v>
      </c>
      <c r="H57" s="2" t="s">
        <v>886</v>
      </c>
      <c r="I57" s="2" t="s">
        <v>136</v>
      </c>
      <c r="J57" s="2">
        <v>2</v>
      </c>
      <c r="N57" s="4">
        <v>909</v>
      </c>
      <c r="O57" s="6">
        <f>N57/454146</f>
        <v>2.0015589700228559E-3</v>
      </c>
      <c r="P57" s="4">
        <v>431</v>
      </c>
      <c r="Q57" s="6">
        <f>P57/405612</f>
        <v>1.0625918365334359E-3</v>
      </c>
      <c r="R57" s="4">
        <v>909</v>
      </c>
      <c r="S57" s="6">
        <v>2.0015589700228559E-3</v>
      </c>
      <c r="T57" s="2" t="s">
        <v>872</v>
      </c>
      <c r="U57" s="2" t="s">
        <v>722</v>
      </c>
      <c r="V57" s="5" t="s">
        <v>662</v>
      </c>
      <c r="W57" s="5" t="s">
        <v>662</v>
      </c>
      <c r="Y57" s="5" t="s">
        <v>662</v>
      </c>
      <c r="Z57" s="5" t="s">
        <v>662</v>
      </c>
      <c r="AB57" s="5" t="s">
        <v>662</v>
      </c>
      <c r="AC57" s="5" t="s">
        <v>662</v>
      </c>
      <c r="AE57" s="2" t="s">
        <v>873</v>
      </c>
      <c r="AF57" s="2">
        <v>19</v>
      </c>
      <c r="AG57" s="2">
        <v>12</v>
      </c>
      <c r="AH57" s="8">
        <v>0.78509450034423678</v>
      </c>
      <c r="AI57" s="8">
        <v>1</v>
      </c>
      <c r="AJ57" s="8">
        <v>0.57225235825938503</v>
      </c>
      <c r="AK57" s="8">
        <f>AVERAGE(AH57:AJ57)</f>
        <v>0.78578228620120727</v>
      </c>
      <c r="AL57" s="11">
        <f>(O57/12.69)*100</f>
        <v>1.5772726320117069E-2</v>
      </c>
      <c r="AM57" s="11">
        <f>(Q57/9.99)*100</f>
        <v>1.0636554920254613E-2</v>
      </c>
      <c r="AN57" s="11">
        <f>(S57/12.69)*100</f>
        <v>1.5772726320117069E-2</v>
      </c>
      <c r="AO57" s="11">
        <f>AVERAGE(AL57:AN57)</f>
        <v>1.4060669186829583E-2</v>
      </c>
      <c r="AP57" s="10">
        <v>0.25</v>
      </c>
      <c r="AQ57" s="10">
        <v>1</v>
      </c>
      <c r="AR57" s="10">
        <v>0</v>
      </c>
      <c r="AS57" s="10">
        <f>AF57/32</f>
        <v>0.59375</v>
      </c>
      <c r="AT57" s="10">
        <f>AG57/28</f>
        <v>0.42857142857142855</v>
      </c>
      <c r="AU57" s="10">
        <f>AVERAGE(AP57:AT57)*2</f>
        <v>0.90892857142857131</v>
      </c>
    </row>
    <row r="58" spans="1:55" x14ac:dyDescent="0.3">
      <c r="A58" s="2" t="s">
        <v>523</v>
      </c>
      <c r="B58" s="2" t="s">
        <v>186</v>
      </c>
      <c r="C58" s="2" t="s">
        <v>192</v>
      </c>
      <c r="D58" s="2" t="s">
        <v>192</v>
      </c>
      <c r="E58" s="2" t="s">
        <v>804</v>
      </c>
      <c r="F58" s="2" t="s">
        <v>192</v>
      </c>
      <c r="G58" s="2" t="s">
        <v>653</v>
      </c>
      <c r="H58" s="2" t="s">
        <v>887</v>
      </c>
      <c r="I58" s="2" t="s">
        <v>192</v>
      </c>
      <c r="J58" s="2">
        <v>1</v>
      </c>
      <c r="K58" s="9">
        <v>0.44097483577397273</v>
      </c>
      <c r="L58" s="9">
        <v>0.12813419663613229</v>
      </c>
      <c r="M58" s="9">
        <v>0.740701413905416</v>
      </c>
      <c r="N58" s="4" t="s">
        <v>662</v>
      </c>
      <c r="P58" s="4" t="s">
        <v>662</v>
      </c>
      <c r="T58" s="2" t="s">
        <v>724</v>
      </c>
      <c r="U58" s="2" t="s">
        <v>725</v>
      </c>
      <c r="V58" s="5">
        <v>21274570.030000001</v>
      </c>
      <c r="W58" s="5">
        <v>21274570.030000001</v>
      </c>
      <c r="X58" s="5">
        <v>21274570.030000001</v>
      </c>
      <c r="Y58" s="5">
        <f>V58/255389</f>
        <v>83.302609078699561</v>
      </c>
      <c r="Z58" s="5">
        <f>Y58</f>
        <v>83.302609078699561</v>
      </c>
      <c r="AA58" s="5">
        <f>Z58</f>
        <v>83.302609078699561</v>
      </c>
      <c r="AB58" s="6">
        <v>0.75</v>
      </c>
      <c r="AC58" s="6">
        <v>0.75</v>
      </c>
      <c r="AD58" s="6">
        <v>0.75</v>
      </c>
      <c r="AE58" s="2">
        <v>2000</v>
      </c>
      <c r="AF58" s="2">
        <v>4</v>
      </c>
      <c r="AG58" s="2">
        <v>4</v>
      </c>
      <c r="AH58" s="8">
        <f>K58</f>
        <v>0.44097483577397273</v>
      </c>
      <c r="AI58" s="8">
        <f>L58</f>
        <v>0.12813419663613229</v>
      </c>
      <c r="AJ58" s="8">
        <f>M58</f>
        <v>0.740701413905416</v>
      </c>
      <c r="AK58" s="8">
        <f>AVERAGE(AH58:AJ58)</f>
        <v>0.43660348210517369</v>
      </c>
      <c r="AP58" s="10">
        <v>1</v>
      </c>
      <c r="AQ58" s="10">
        <v>0</v>
      </c>
      <c r="AR58" s="10">
        <v>1</v>
      </c>
      <c r="AS58" s="10">
        <f>AF58/32</f>
        <v>0.125</v>
      </c>
      <c r="AT58" s="10">
        <f>AG58/28</f>
        <v>0.14285714285714285</v>
      </c>
      <c r="AU58" s="10">
        <f>AVERAGE(AP58:AT58)*2</f>
        <v>0.90714285714285714</v>
      </c>
      <c r="AV58" s="11">
        <f>Y58/776.02</f>
        <v>0.10734595639120069</v>
      </c>
      <c r="AW58" s="11">
        <f>Z58/639.8</f>
        <v>0.1302010145025001</v>
      </c>
      <c r="AX58" s="11">
        <f>AA58/804.19</f>
        <v>0.10358573108183335</v>
      </c>
      <c r="AY58" s="11">
        <f>AB58</f>
        <v>0.75</v>
      </c>
      <c r="AZ58" s="11">
        <f>AC58</f>
        <v>0.75</v>
      </c>
      <c r="BA58" s="11">
        <f>AD58</f>
        <v>0.75</v>
      </c>
      <c r="BB58" s="10">
        <f>AVERAGE(AV58:BA58)*2</f>
        <v>0.86371090065851142</v>
      </c>
      <c r="BC58" s="10">
        <f>AVERAGE(AK58,AO58,AU58,BB58)</f>
        <v>0.73581907996884743</v>
      </c>
    </row>
    <row r="59" spans="1:55" x14ac:dyDescent="0.3">
      <c r="A59" s="2" t="s">
        <v>380</v>
      </c>
      <c r="B59" s="2" t="s">
        <v>70</v>
      </c>
      <c r="C59" s="2" t="s">
        <v>74</v>
      </c>
      <c r="D59" s="2" t="s">
        <v>74</v>
      </c>
      <c r="E59" s="3" t="s">
        <v>828</v>
      </c>
      <c r="F59" s="3" t="s">
        <v>74</v>
      </c>
      <c r="G59" s="2" t="s">
        <v>653</v>
      </c>
      <c r="H59" s="2" t="s">
        <v>884</v>
      </c>
      <c r="I59" s="2" t="s">
        <v>74</v>
      </c>
      <c r="J59" s="2">
        <v>1</v>
      </c>
      <c r="K59" s="9">
        <v>0.68324439705732531</v>
      </c>
      <c r="L59" s="9">
        <v>1</v>
      </c>
      <c r="M59" s="9">
        <v>0.54699773844699995</v>
      </c>
      <c r="N59" s="4">
        <v>10400</v>
      </c>
      <c r="O59" s="6">
        <f>N59/603442</f>
        <v>1.7234464952721223E-2</v>
      </c>
      <c r="P59" s="4">
        <f>(4809+10400)/2</f>
        <v>7604.5</v>
      </c>
      <c r="Q59" s="6">
        <f>P59/603442</f>
        <v>1.260187391663159E-2</v>
      </c>
      <c r="R59" s="4">
        <v>10400</v>
      </c>
      <c r="S59" s="6">
        <v>1.7234464952721223E-2</v>
      </c>
      <c r="T59" s="2" t="s">
        <v>724</v>
      </c>
      <c r="U59" s="2" t="s">
        <v>725</v>
      </c>
      <c r="V59" s="5">
        <v>37613108.799999997</v>
      </c>
      <c r="W59" s="5">
        <v>50088365.439999998</v>
      </c>
      <c r="X59" s="5">
        <v>93087654.799999997</v>
      </c>
      <c r="Y59" s="5">
        <f>V59/538208</f>
        <v>69.885822581604131</v>
      </c>
      <c r="Z59" s="5">
        <f>W59/538208</f>
        <v>93.065070456031862</v>
      </c>
      <c r="AA59" s="5">
        <f>X59/570825</f>
        <v>163.07564454955545</v>
      </c>
      <c r="AB59" s="6">
        <v>0.06</v>
      </c>
      <c r="AC59" s="6">
        <v>4.0599999999999997E-2</v>
      </c>
      <c r="AD59" s="6">
        <v>0.06</v>
      </c>
      <c r="AE59" s="1" t="s">
        <v>749</v>
      </c>
      <c r="AF59" s="2">
        <v>4</v>
      </c>
      <c r="AG59" s="2">
        <v>4</v>
      </c>
      <c r="AH59" s="8">
        <f>K59</f>
        <v>0.68324439705732531</v>
      </c>
      <c r="AI59" s="8">
        <f>L59</f>
        <v>1</v>
      </c>
      <c r="AJ59" s="8">
        <f>M59</f>
        <v>0.54699773844699995</v>
      </c>
      <c r="AK59" s="8">
        <f>AVERAGE(AH59:AJ59)</f>
        <v>0.74341404516810849</v>
      </c>
      <c r="AL59" s="11">
        <f>(O59/12.69)*100</f>
        <v>0.13581138654626654</v>
      </c>
      <c r="AM59" s="11">
        <f>(Q59/9.99)*100</f>
        <v>0.12614488405036625</v>
      </c>
      <c r="AN59" s="11">
        <f>(S59/12.69)*100</f>
        <v>0.13581138654626654</v>
      </c>
      <c r="AO59" s="11">
        <f>AVERAGE(AL59:AN59)</f>
        <v>0.1325892190476331</v>
      </c>
      <c r="AP59" s="10">
        <v>1</v>
      </c>
      <c r="AQ59" s="10">
        <v>0</v>
      </c>
      <c r="AR59" s="10">
        <v>1</v>
      </c>
      <c r="AS59" s="10">
        <f>AF59/32</f>
        <v>0.125</v>
      </c>
      <c r="AT59" s="10">
        <f>AG59/28</f>
        <v>0.14285714285714285</v>
      </c>
      <c r="AU59" s="10">
        <f>AVERAGE(AP59:AT59)*2</f>
        <v>0.90714285714285714</v>
      </c>
      <c r="AV59" s="11">
        <f>Y59/776.02</f>
        <v>9.0056728668854072E-2</v>
      </c>
      <c r="AW59" s="11">
        <f>Z59/639.8</f>
        <v>0.14545962872152526</v>
      </c>
      <c r="AX59" s="11">
        <f>AA59/804.19</f>
        <v>0.20278248243518998</v>
      </c>
      <c r="AY59" s="11">
        <f>AB59</f>
        <v>0.06</v>
      </c>
      <c r="AZ59" s="11">
        <f>AC59</f>
        <v>4.0599999999999997E-2</v>
      </c>
      <c r="BA59" s="11">
        <f>AD59</f>
        <v>0.06</v>
      </c>
      <c r="BB59" s="10">
        <f>AVERAGE(AV59:BA59)*2</f>
        <v>0.19963294660852307</v>
      </c>
      <c r="BC59" s="10">
        <f>AVERAGE(AK59,AO59,AU59,BB59)</f>
        <v>0.49569476699178044</v>
      </c>
    </row>
    <row r="60" spans="1:55" x14ac:dyDescent="0.3">
      <c r="A60" s="2" t="s">
        <v>522</v>
      </c>
      <c r="B60" s="2" t="s">
        <v>186</v>
      </c>
      <c r="C60" s="2" t="s">
        <v>191</v>
      </c>
      <c r="D60" s="2" t="s">
        <v>191</v>
      </c>
      <c r="E60" s="2" t="s">
        <v>191</v>
      </c>
      <c r="F60" s="2" t="s">
        <v>191</v>
      </c>
      <c r="G60" s="2" t="s">
        <v>656</v>
      </c>
      <c r="H60" s="2" t="s">
        <v>886</v>
      </c>
      <c r="I60" s="2" t="s">
        <v>192</v>
      </c>
      <c r="J60" s="2">
        <v>2</v>
      </c>
      <c r="K60" s="9">
        <v>0.62655083268509093</v>
      </c>
      <c r="L60" s="9">
        <v>0.58142067528203056</v>
      </c>
      <c r="M60" s="9">
        <v>0.45617785365860553</v>
      </c>
      <c r="N60" s="4">
        <v>6658</v>
      </c>
      <c r="O60" s="6">
        <f>N60/170420</f>
        <v>3.906818448538904E-2</v>
      </c>
      <c r="P60" s="4">
        <v>5378</v>
      </c>
      <c r="Q60" s="6">
        <f>P60/170420</f>
        <v>3.1557328952000939E-2</v>
      </c>
      <c r="R60" s="4">
        <v>6658</v>
      </c>
      <c r="S60" s="6">
        <v>3.906818448538904E-2</v>
      </c>
      <c r="T60" s="2" t="s">
        <v>724</v>
      </c>
      <c r="U60" s="2" t="s">
        <v>725</v>
      </c>
      <c r="V60" s="5">
        <v>20338606.199999999</v>
      </c>
      <c r="W60" s="5">
        <v>16998974.550000001</v>
      </c>
      <c r="X60" s="5">
        <v>20338606.199999999</v>
      </c>
      <c r="Y60" s="5">
        <f>V60/170420</f>
        <v>119.34401009271213</v>
      </c>
      <c r="Z60" s="5">
        <f>W60/170420</f>
        <v>99.747532859992958</v>
      </c>
      <c r="AA60" s="5">
        <f>X60/170420</f>
        <v>119.34401009271213</v>
      </c>
      <c r="AB60" s="6">
        <v>0.41</v>
      </c>
      <c r="AC60" s="6">
        <v>0.41</v>
      </c>
      <c r="AD60" s="6">
        <v>0.41</v>
      </c>
      <c r="AE60" s="2">
        <v>2004</v>
      </c>
      <c r="AF60" s="2">
        <v>4</v>
      </c>
      <c r="AG60" s="2">
        <v>4</v>
      </c>
      <c r="AH60" s="8">
        <f>K60</f>
        <v>0.62655083268509093</v>
      </c>
      <c r="AI60" s="8">
        <f>L60</f>
        <v>0.58142067528203056</v>
      </c>
      <c r="AJ60" s="8">
        <f>M60</f>
        <v>0.45617785365860553</v>
      </c>
      <c r="AK60" s="8">
        <f>AVERAGE(AH60:AJ60)</f>
        <v>0.55471645387524227</v>
      </c>
      <c r="AL60" s="11">
        <f>(O60/12.69)*100</f>
        <v>0.30786591399045737</v>
      </c>
      <c r="AM60" s="11">
        <f>(Q60/9.99)*100</f>
        <v>0.31588917869870808</v>
      </c>
      <c r="AN60" s="11">
        <f>(S60/12.69)*100</f>
        <v>0.30786591399045737</v>
      </c>
      <c r="AO60" s="11">
        <f>AVERAGE(AL60:AN60)</f>
        <v>0.31054033555987431</v>
      </c>
      <c r="AP60" s="10">
        <v>1</v>
      </c>
      <c r="AQ60" s="10">
        <v>0</v>
      </c>
      <c r="AR60" s="10">
        <v>1</v>
      </c>
      <c r="AS60" s="10">
        <f>AF60/32</f>
        <v>0.125</v>
      </c>
      <c r="AT60" s="10">
        <f>AG60/28</f>
        <v>0.14285714285714285</v>
      </c>
      <c r="AU60" s="10">
        <f>AVERAGE(AP60:AT60)*2</f>
        <v>0.90714285714285714</v>
      </c>
      <c r="AV60" s="11">
        <f>Y60/776.02</f>
        <v>0.15378986378277895</v>
      </c>
      <c r="AW60" s="11">
        <f>Z60/639.8</f>
        <v>0.15590424016879176</v>
      </c>
      <c r="AX60" s="11">
        <f>AA60/804.19</f>
        <v>0.14840275319602597</v>
      </c>
      <c r="AY60" s="11">
        <f>AB60</f>
        <v>0.41</v>
      </c>
      <c r="AZ60" s="11">
        <f>AC60</f>
        <v>0.41</v>
      </c>
      <c r="BA60" s="11">
        <f>AD60</f>
        <v>0.41</v>
      </c>
      <c r="BB60" s="10">
        <f>AVERAGE(AV60:BA60)*2</f>
        <v>0.5626989523825322</v>
      </c>
      <c r="BC60" s="10">
        <f>AVERAGE(AK60,AO60,AU60,BB60)</f>
        <v>0.58377464974012649</v>
      </c>
    </row>
    <row r="61" spans="1:55" x14ac:dyDescent="0.3">
      <c r="A61" s="2" t="s">
        <v>495</v>
      </c>
      <c r="B61" s="2" t="s">
        <v>167</v>
      </c>
      <c r="C61" s="2" t="s">
        <v>179</v>
      </c>
      <c r="D61" s="2" t="s">
        <v>179</v>
      </c>
      <c r="E61" s="2" t="s">
        <v>175</v>
      </c>
      <c r="F61" s="2" t="s">
        <v>179</v>
      </c>
      <c r="G61" s="2" t="s">
        <v>653</v>
      </c>
      <c r="H61" s="2" t="s">
        <v>884</v>
      </c>
      <c r="I61" s="2" t="s">
        <v>179</v>
      </c>
      <c r="J61" s="2">
        <v>1</v>
      </c>
      <c r="K61" s="9">
        <v>0.56940844058786544</v>
      </c>
      <c r="L61" s="9">
        <v>1</v>
      </c>
      <c r="M61" s="9">
        <v>0.29928447965876859</v>
      </c>
      <c r="N61" s="4">
        <v>5557</v>
      </c>
      <c r="O61" s="6">
        <f>N61/255660</f>
        <v>2.173589924117969E-2</v>
      </c>
      <c r="P61" s="4">
        <v>11517</v>
      </c>
      <c r="Q61" s="6">
        <f>P61/244145</f>
        <v>4.7172786663662987E-2</v>
      </c>
      <c r="R61" s="4">
        <v>25000</v>
      </c>
      <c r="S61" s="6">
        <f>R61/232629</f>
        <v>0.10746725472748453</v>
      </c>
      <c r="T61" s="2" t="s">
        <v>724</v>
      </c>
      <c r="U61" s="2" t="s">
        <v>725</v>
      </c>
      <c r="V61" s="5">
        <v>34753837.049999997</v>
      </c>
      <c r="W61" s="5">
        <v>47026810.509999998</v>
      </c>
      <c r="X61" s="5">
        <v>102493114.20999999</v>
      </c>
      <c r="Y61" s="5">
        <f>V61/255660</f>
        <v>135.93771825862473</v>
      </c>
      <c r="Z61" s="5">
        <f>W61/255660</f>
        <v>183.94277755612922</v>
      </c>
      <c r="AA61" s="5">
        <f>X61/255260</f>
        <v>401.52438380474808</v>
      </c>
      <c r="AB61" s="6">
        <v>0.34499999999999997</v>
      </c>
      <c r="AC61" s="6">
        <v>0.33500000000000002</v>
      </c>
      <c r="AD61" s="6">
        <v>0.34499999999999997</v>
      </c>
      <c r="AE61" s="2" t="s">
        <v>759</v>
      </c>
      <c r="AF61" s="2">
        <v>15</v>
      </c>
      <c r="AG61" s="2">
        <v>15</v>
      </c>
      <c r="AH61" s="8">
        <f>K61</f>
        <v>0.56940844058786544</v>
      </c>
      <c r="AI61" s="8">
        <f>L61</f>
        <v>1</v>
      </c>
      <c r="AJ61" s="8">
        <f>M61</f>
        <v>0.29928447965876859</v>
      </c>
      <c r="AK61" s="8">
        <f>AVERAGE(AH61:AJ61)</f>
        <v>0.62289764008221138</v>
      </c>
      <c r="AL61" s="11">
        <f>(O61/12.69)*100</f>
        <v>0.17128368196359095</v>
      </c>
      <c r="AM61" s="11">
        <f>(Q61/9.99)*100</f>
        <v>0.4722000667033332</v>
      </c>
      <c r="AN61" s="11">
        <f>(S61/12.69)*100</f>
        <v>0.84686567949160385</v>
      </c>
      <c r="AO61" s="11">
        <f>AVERAGE(AL61:AN61)</f>
        <v>0.4967831427195093</v>
      </c>
      <c r="AP61" s="10">
        <v>1</v>
      </c>
      <c r="AQ61" s="10">
        <v>0</v>
      </c>
      <c r="AR61" s="10">
        <v>0.25</v>
      </c>
      <c r="AS61" s="10">
        <f>AF61/32</f>
        <v>0.46875</v>
      </c>
      <c r="AT61" s="10">
        <f>AG61/28</f>
        <v>0.5357142857142857</v>
      </c>
      <c r="AU61" s="10">
        <f>AVERAGE(AP61:AT61)*2</f>
        <v>0.90178571428571419</v>
      </c>
      <c r="AV61" s="11">
        <f>Y61/776.02</f>
        <v>0.17517295721582526</v>
      </c>
      <c r="AW61" s="11">
        <f>Z61/639.8</f>
        <v>0.28750043381701973</v>
      </c>
      <c r="AX61" s="11">
        <f>AA61/804.19</f>
        <v>0.49929044604477557</v>
      </c>
      <c r="AY61" s="11">
        <f>AB61</f>
        <v>0.34499999999999997</v>
      </c>
      <c r="AZ61" s="11">
        <f>AC61</f>
        <v>0.33500000000000002</v>
      </c>
      <c r="BA61" s="11">
        <f>AD61</f>
        <v>0.34499999999999997</v>
      </c>
      <c r="BB61" s="10">
        <f>AVERAGE(AV61:BA61)*2</f>
        <v>0.66232127902587357</v>
      </c>
      <c r="BC61" s="10">
        <f>AVERAGE(AK61,AO61,AU61,BB61)</f>
        <v>0.670946944028327</v>
      </c>
    </row>
    <row r="62" spans="1:55" x14ac:dyDescent="0.3">
      <c r="A62" s="2" t="s">
        <v>547</v>
      </c>
      <c r="B62" s="2" t="s">
        <v>201</v>
      </c>
      <c r="C62" s="2" t="s">
        <v>210</v>
      </c>
      <c r="D62" s="2" t="s">
        <v>210</v>
      </c>
      <c r="E62" s="2" t="s">
        <v>210</v>
      </c>
      <c r="F62" s="2" t="s">
        <v>210</v>
      </c>
      <c r="G62" s="2" t="s">
        <v>656</v>
      </c>
      <c r="H62" s="2" t="s">
        <v>886</v>
      </c>
      <c r="I62" s="2" t="s">
        <v>249</v>
      </c>
      <c r="J62" s="2">
        <v>2</v>
      </c>
      <c r="K62" s="9">
        <v>0.71602096046622077</v>
      </c>
      <c r="L62" s="9">
        <v>1</v>
      </c>
      <c r="M62" s="9">
        <v>0.35142179565676868</v>
      </c>
      <c r="N62" s="4">
        <v>100</v>
      </c>
      <c r="O62" s="6">
        <f>N62/388686</f>
        <v>2.5727708227206539E-4</v>
      </c>
      <c r="P62" s="4">
        <v>700</v>
      </c>
      <c r="Q62" s="6">
        <f>P62/343937</f>
        <v>2.0352564568511095E-3</v>
      </c>
      <c r="R62" s="4">
        <v>1000</v>
      </c>
      <c r="S62" s="6">
        <f>R62/343937</f>
        <v>2.9075092240730136E-3</v>
      </c>
      <c r="T62" s="2" t="s">
        <v>724</v>
      </c>
      <c r="U62" s="2" t="s">
        <v>725</v>
      </c>
      <c r="V62" s="5">
        <v>707047.83</v>
      </c>
      <c r="W62" s="5">
        <v>1480444.56</v>
      </c>
      <c r="X62" s="5">
        <v>2165931</v>
      </c>
      <c r="Y62" s="5">
        <f>V62/366312</f>
        <v>1.9301792734062766</v>
      </c>
      <c r="Z62" s="5">
        <f>W62/366312</f>
        <v>4.0414852912271506</v>
      </c>
      <c r="AA62" s="5">
        <f>X62/388686</f>
        <v>5.5724440808261679</v>
      </c>
      <c r="AB62" s="6">
        <v>1E-3</v>
      </c>
      <c r="AC62" s="6">
        <v>1E-3</v>
      </c>
      <c r="AD62" s="6">
        <v>1E-3</v>
      </c>
      <c r="AE62" s="2" t="s">
        <v>695</v>
      </c>
      <c r="AF62" s="2">
        <v>15</v>
      </c>
      <c r="AG62" s="2">
        <v>15</v>
      </c>
      <c r="AH62" s="8">
        <f>K62</f>
        <v>0.71602096046622077</v>
      </c>
      <c r="AI62" s="8">
        <f>L62</f>
        <v>1</v>
      </c>
      <c r="AJ62" s="8">
        <f>M62</f>
        <v>0.35142179565676868</v>
      </c>
      <c r="AK62" s="8">
        <f>AVERAGE(AH62:AJ62)</f>
        <v>0.68914758537432974</v>
      </c>
      <c r="AL62" s="11">
        <f>(O62/12.69)*100</f>
        <v>2.0274001755087897E-3</v>
      </c>
      <c r="AM62" s="11">
        <f>(Q62/9.99)*100</f>
        <v>2.0372937506017111E-2</v>
      </c>
      <c r="AN62" s="11">
        <f>(S62/12.69)*100</f>
        <v>2.2911814216493409E-2</v>
      </c>
      <c r="AO62" s="11">
        <f>AVERAGE(AL62:AN62)</f>
        <v>1.5104050632673102E-2</v>
      </c>
      <c r="AP62" s="10">
        <v>1</v>
      </c>
      <c r="AQ62" s="10">
        <v>0</v>
      </c>
      <c r="AR62" s="10">
        <v>0.25</v>
      </c>
      <c r="AS62" s="10">
        <f>AF62/32</f>
        <v>0.46875</v>
      </c>
      <c r="AT62" s="10">
        <f>AG62/28</f>
        <v>0.5357142857142857</v>
      </c>
      <c r="AU62" s="10">
        <f>AVERAGE(AP62:AT62)*2</f>
        <v>0.90178571428571419</v>
      </c>
      <c r="AV62" s="11">
        <f>Y62/776.02</f>
        <v>2.487280319329755E-3</v>
      </c>
      <c r="AW62" s="11">
        <f>Z62/639.8</f>
        <v>6.3167947659067691E-3</v>
      </c>
      <c r="AX62" s="11">
        <f>AA62/804.19</f>
        <v>6.9292630856217655E-3</v>
      </c>
      <c r="AY62" s="11">
        <f>AB62</f>
        <v>1E-3</v>
      </c>
      <c r="AZ62" s="11">
        <f>AC62</f>
        <v>1E-3</v>
      </c>
      <c r="BA62" s="11">
        <f>AD62</f>
        <v>1E-3</v>
      </c>
      <c r="BB62" s="10">
        <f>AVERAGE(AV62:BA62)*2</f>
        <v>6.2444460569527635E-3</v>
      </c>
      <c r="BC62" s="10">
        <f>AVERAGE(AK62,AO62,AU62,BB62)</f>
        <v>0.40307044908741746</v>
      </c>
    </row>
    <row r="63" spans="1:55" x14ac:dyDescent="0.3">
      <c r="A63" s="2" t="s">
        <v>316</v>
      </c>
      <c r="B63" s="2" t="s">
        <v>23</v>
      </c>
      <c r="C63" s="2" t="s">
        <v>24</v>
      </c>
      <c r="D63" s="2" t="s">
        <v>24</v>
      </c>
      <c r="E63" s="3" t="s">
        <v>24</v>
      </c>
      <c r="F63" s="3" t="s">
        <v>662</v>
      </c>
      <c r="G63" s="2" t="s">
        <v>653</v>
      </c>
      <c r="H63" s="2" t="s">
        <v>887</v>
      </c>
      <c r="I63" s="2" t="s">
        <v>24</v>
      </c>
      <c r="J63" s="2">
        <v>2</v>
      </c>
      <c r="K63" s="9">
        <v>0.83490472315960873</v>
      </c>
      <c r="L63" s="9">
        <v>1</v>
      </c>
      <c r="M63" s="9">
        <v>0.82333702315686652</v>
      </c>
      <c r="N63" s="4">
        <v>10000</v>
      </c>
      <c r="O63" s="6">
        <f>N63/1802014</f>
        <v>5.5493464534681755E-3</v>
      </c>
      <c r="P63" s="4">
        <v>10000</v>
      </c>
      <c r="Q63" s="6">
        <f>O63</f>
        <v>5.5493464534681755E-3</v>
      </c>
      <c r="R63" s="4">
        <v>10000</v>
      </c>
      <c r="S63" s="6">
        <f>Q63</f>
        <v>5.5493464534681755E-3</v>
      </c>
      <c r="T63" s="2" t="s">
        <v>724</v>
      </c>
      <c r="U63" s="2" t="s">
        <v>725</v>
      </c>
      <c r="V63" s="5" t="s">
        <v>662</v>
      </c>
      <c r="W63" s="5" t="s">
        <v>662</v>
      </c>
      <c r="Y63" s="5" t="s">
        <v>662</v>
      </c>
      <c r="Z63" s="5" t="s">
        <v>662</v>
      </c>
      <c r="AB63" s="6" t="s">
        <v>662</v>
      </c>
      <c r="AC63" s="6" t="s">
        <v>662</v>
      </c>
      <c r="AE63" s="2">
        <v>2008</v>
      </c>
      <c r="AF63" s="2">
        <v>3</v>
      </c>
      <c r="AG63" s="2">
        <v>3</v>
      </c>
      <c r="AH63" s="8">
        <f>K63</f>
        <v>0.83490472315960873</v>
      </c>
      <c r="AI63" s="8">
        <f>L63</f>
        <v>1</v>
      </c>
      <c r="AJ63" s="8">
        <f>M63</f>
        <v>0.82333702315686652</v>
      </c>
      <c r="AK63" s="8">
        <f>AVERAGE(AH63:AJ63)</f>
        <v>0.88608058210549168</v>
      </c>
      <c r="AL63" s="11">
        <f>(O63/12.69)*100</f>
        <v>4.3730074495415092E-2</v>
      </c>
      <c r="AM63" s="11">
        <f>(Q63/9.99)*100</f>
        <v>5.5549013548229983E-2</v>
      </c>
      <c r="AN63" s="11">
        <f>(S63/12.69)*100</f>
        <v>4.3730074495415092E-2</v>
      </c>
      <c r="AO63" s="11">
        <f>AVERAGE(AL63:AN63)</f>
        <v>4.7669720846353382E-2</v>
      </c>
      <c r="AP63" s="10">
        <v>1</v>
      </c>
      <c r="AQ63" s="10">
        <v>0</v>
      </c>
      <c r="AR63" s="10">
        <v>1</v>
      </c>
      <c r="AS63" s="10">
        <f>AF63/32</f>
        <v>9.375E-2</v>
      </c>
      <c r="AT63" s="10">
        <f>AG63/28</f>
        <v>0.10714285714285714</v>
      </c>
      <c r="AU63" s="10">
        <f>AVERAGE(AP63:AT63)*2</f>
        <v>0.88035714285714284</v>
      </c>
    </row>
    <row r="64" spans="1:55" x14ac:dyDescent="0.3">
      <c r="A64" s="2" t="s">
        <v>527</v>
      </c>
      <c r="B64" s="2" t="s">
        <v>186</v>
      </c>
      <c r="C64" s="2" t="s">
        <v>187</v>
      </c>
      <c r="D64" s="2" t="s">
        <v>193</v>
      </c>
      <c r="E64" s="2" t="s">
        <v>805</v>
      </c>
      <c r="F64" s="2" t="s">
        <v>667</v>
      </c>
      <c r="G64" s="2" t="s">
        <v>656</v>
      </c>
      <c r="H64" s="2" t="s">
        <v>886</v>
      </c>
      <c r="I64" s="2" t="s">
        <v>192</v>
      </c>
      <c r="J64" s="2">
        <v>2</v>
      </c>
      <c r="K64" s="9">
        <v>0.78576535255798241</v>
      </c>
      <c r="L64" s="9">
        <v>1</v>
      </c>
      <c r="M64" s="9">
        <v>0.56576640942457557</v>
      </c>
      <c r="N64" s="4">
        <v>4500</v>
      </c>
      <c r="O64" s="6">
        <f>N64/147494</f>
        <v>3.0509715649450146E-2</v>
      </c>
      <c r="P64" s="4">
        <v>4500</v>
      </c>
      <c r="Q64" s="6">
        <f>P64/147494</f>
        <v>3.0509715649450146E-2</v>
      </c>
      <c r="R64" s="4">
        <v>4500</v>
      </c>
      <c r="S64" s="6">
        <v>3.0509715649450146E-2</v>
      </c>
      <c r="T64" s="2" t="s">
        <v>724</v>
      </c>
      <c r="U64" s="2" t="s">
        <v>725</v>
      </c>
      <c r="V64" s="5">
        <v>21609634.149999999</v>
      </c>
      <c r="W64" s="5">
        <v>17584352.469999999</v>
      </c>
      <c r="X64" s="5">
        <v>21609634.149999999</v>
      </c>
      <c r="Y64" s="5">
        <f>V64/147494</f>
        <v>146.51195404558828</v>
      </c>
      <c r="Z64" s="5">
        <f>W64/147494</f>
        <v>119.22079860875697</v>
      </c>
      <c r="AA64" s="5">
        <f>Y64</f>
        <v>146.51195404558828</v>
      </c>
      <c r="AE64" s="2">
        <v>2008</v>
      </c>
      <c r="AF64" s="2">
        <v>3</v>
      </c>
      <c r="AG64" s="2">
        <v>3</v>
      </c>
      <c r="AH64" s="8">
        <f>K64</f>
        <v>0.78576535255798241</v>
      </c>
      <c r="AI64" s="8">
        <f>L64</f>
        <v>1</v>
      </c>
      <c r="AJ64" s="8">
        <f>M64</f>
        <v>0.56576640942457557</v>
      </c>
      <c r="AK64" s="8">
        <f>AVERAGE(AH64:AJ64)</f>
        <v>0.78384392066085262</v>
      </c>
      <c r="AL64" s="11">
        <f>(O64/12.69)*100</f>
        <v>0.24042329116981992</v>
      </c>
      <c r="AM64" s="11">
        <f>(Q64/9.99)*100</f>
        <v>0.30540255905355501</v>
      </c>
      <c r="AN64" s="11">
        <f>(S64/12.69)*100</f>
        <v>0.24042329116981992</v>
      </c>
      <c r="AO64" s="11">
        <f>AVERAGE(AL64:AN64)</f>
        <v>0.26208304713106495</v>
      </c>
      <c r="AP64" s="10">
        <v>1</v>
      </c>
      <c r="AQ64" s="10">
        <v>0</v>
      </c>
      <c r="AR64" s="10">
        <v>1</v>
      </c>
      <c r="AS64" s="10">
        <f>AF64/32</f>
        <v>9.375E-2</v>
      </c>
      <c r="AT64" s="10">
        <f>AG64/28</f>
        <v>0.10714285714285714</v>
      </c>
      <c r="AU64" s="10">
        <f>AVERAGE(AP64:AT64)*2</f>
        <v>0.88035714285714284</v>
      </c>
      <c r="AV64" s="11">
        <f>Y64/776.02</f>
        <v>0.18879919853301241</v>
      </c>
      <c r="AW64" s="11">
        <f>Z64/639.8</f>
        <v>0.18634072930409029</v>
      </c>
      <c r="AX64" s="11">
        <f>AA64/804.19</f>
        <v>0.18218574471901947</v>
      </c>
      <c r="AY64" s="11"/>
      <c r="AZ64" s="11"/>
      <c r="BA64" s="11"/>
    </row>
    <row r="65" spans="1:55" x14ac:dyDescent="0.3">
      <c r="A65" s="2" t="s">
        <v>587</v>
      </c>
      <c r="B65" s="2" t="s">
        <v>201</v>
      </c>
      <c r="C65" s="2" t="s">
        <v>205</v>
      </c>
      <c r="D65" s="2" t="s">
        <v>631</v>
      </c>
      <c r="E65" s="2" t="s">
        <v>236</v>
      </c>
      <c r="F65" s="2" t="s">
        <v>662</v>
      </c>
      <c r="G65" s="2" t="s">
        <v>655</v>
      </c>
      <c r="H65" s="2" t="s">
        <v>888</v>
      </c>
      <c r="I65" s="2" t="s">
        <v>205</v>
      </c>
      <c r="J65" s="2">
        <v>3</v>
      </c>
      <c r="K65" s="9">
        <v>0.5403691851415946</v>
      </c>
      <c r="L65" s="9">
        <v>0.88868773153815805</v>
      </c>
      <c r="M65" s="9">
        <v>0.27766272850764961</v>
      </c>
      <c r="N65" s="4">
        <v>57</v>
      </c>
      <c r="O65" s="6">
        <f>N65/62093</f>
        <v>9.1797787190182466E-4</v>
      </c>
      <c r="P65" s="4">
        <v>215</v>
      </c>
      <c r="Q65" s="6">
        <f>P65/60302</f>
        <v>3.5653875493350138E-3</v>
      </c>
      <c r="R65" s="4">
        <v>581</v>
      </c>
      <c r="S65" s="6">
        <f>R65/56573</f>
        <v>1.0269916744736889E-2</v>
      </c>
      <c r="T65" s="2" t="s">
        <v>723</v>
      </c>
      <c r="U65" s="2" t="s">
        <v>722</v>
      </c>
      <c r="V65" s="5" t="s">
        <v>662</v>
      </c>
      <c r="W65" s="5" t="s">
        <v>662</v>
      </c>
      <c r="Y65" s="5" t="s">
        <v>662</v>
      </c>
      <c r="Z65" s="5" t="s">
        <v>662</v>
      </c>
      <c r="AB65" s="5" t="s">
        <v>662</v>
      </c>
      <c r="AC65" s="5" t="s">
        <v>662</v>
      </c>
      <c r="AE65" s="2" t="s">
        <v>752</v>
      </c>
      <c r="AF65" s="2">
        <v>13</v>
      </c>
      <c r="AG65" s="2">
        <v>8</v>
      </c>
      <c r="AH65" s="8">
        <f>K65</f>
        <v>0.5403691851415946</v>
      </c>
      <c r="AI65" s="8">
        <f>L65</f>
        <v>0.88868773153815805</v>
      </c>
      <c r="AJ65" s="8">
        <f>M65</f>
        <v>0.27766272850764961</v>
      </c>
      <c r="AK65" s="8">
        <f>AVERAGE(AH65:AJ65)</f>
        <v>0.56890654839580079</v>
      </c>
      <c r="AL65" s="11">
        <f>(O65/12.69)*100</f>
        <v>7.2338681788953873E-3</v>
      </c>
      <c r="AM65" s="11">
        <f>(Q65/9.99)*100</f>
        <v>3.5689565058408541E-2</v>
      </c>
      <c r="AN65" s="11">
        <f>(S65/12.69)*100</f>
        <v>8.0929209966405749E-2</v>
      </c>
      <c r="AO65" s="11">
        <f>AVERAGE(AL65:AN65)</f>
        <v>4.1284214401236558E-2</v>
      </c>
      <c r="AP65" s="10">
        <v>0.25</v>
      </c>
      <c r="AQ65" s="10">
        <v>1</v>
      </c>
      <c r="AR65" s="10">
        <v>0.25</v>
      </c>
      <c r="AS65" s="10">
        <f>AF65/32</f>
        <v>0.40625</v>
      </c>
      <c r="AT65" s="10">
        <f>AG65/28</f>
        <v>0.2857142857142857</v>
      </c>
      <c r="AU65" s="10">
        <f>AVERAGE(AP65:AT65)*2</f>
        <v>0.87678571428571428</v>
      </c>
    </row>
    <row r="66" spans="1:55" x14ac:dyDescent="0.3">
      <c r="A66" s="2" t="s">
        <v>560</v>
      </c>
      <c r="B66" s="2" t="s">
        <v>201</v>
      </c>
      <c r="C66" s="2" t="s">
        <v>249</v>
      </c>
      <c r="D66" s="2" t="s">
        <v>249</v>
      </c>
      <c r="E66" s="2" t="s">
        <v>795</v>
      </c>
      <c r="F66" s="2" t="s">
        <v>249</v>
      </c>
      <c r="G66" s="2" t="s">
        <v>657</v>
      </c>
      <c r="H66" s="2" t="s">
        <v>884</v>
      </c>
      <c r="I66" s="2" t="s">
        <v>249</v>
      </c>
      <c r="J66" s="2">
        <v>1</v>
      </c>
      <c r="K66" s="9">
        <v>0.57239102406778553</v>
      </c>
      <c r="L66" s="9">
        <v>1</v>
      </c>
      <c r="M66" s="9">
        <v>0.4553121178672439</v>
      </c>
      <c r="N66" s="4" t="s">
        <v>662</v>
      </c>
      <c r="P66" s="4" t="s">
        <v>662</v>
      </c>
      <c r="T66" s="2" t="s">
        <v>724</v>
      </c>
      <c r="U66" s="2" t="s">
        <v>725</v>
      </c>
      <c r="V66" s="5">
        <v>7471972.5</v>
      </c>
      <c r="W66" s="5">
        <v>7663410.4199999999</v>
      </c>
      <c r="X66" s="5">
        <v>7854848.3399999999</v>
      </c>
      <c r="Y66" s="5">
        <f>V66/386089</f>
        <v>19.35297949436529</v>
      </c>
      <c r="Z66" s="5">
        <f>W66/386089</f>
        <v>19.848818329452534</v>
      </c>
      <c r="AA66" s="5">
        <f>X66/371577</f>
        <v>21.139221049742044</v>
      </c>
      <c r="AB66" s="6">
        <v>2.7199999999999998E-2</v>
      </c>
      <c r="AC66" s="6">
        <v>3.3599999999999998E-2</v>
      </c>
      <c r="AD66" s="6">
        <v>3.9800000000000002E-2</v>
      </c>
      <c r="AE66" s="2" t="s">
        <v>748</v>
      </c>
      <c r="AF66" s="2">
        <v>16</v>
      </c>
      <c r="AG66" s="2">
        <v>12</v>
      </c>
      <c r="AH66" s="8">
        <f>K66</f>
        <v>0.57239102406778553</v>
      </c>
      <c r="AI66" s="8">
        <f>L66</f>
        <v>1</v>
      </c>
      <c r="AJ66" s="8">
        <f>M66</f>
        <v>0.4553121178672439</v>
      </c>
      <c r="AK66" s="8">
        <f>AVERAGE(AH66:AJ66)</f>
        <v>0.67590104731167655</v>
      </c>
      <c r="AP66" s="10">
        <v>1</v>
      </c>
      <c r="AQ66" s="10">
        <v>0</v>
      </c>
      <c r="AR66" s="10">
        <v>0.25</v>
      </c>
      <c r="AS66" s="10">
        <f>AF66/32</f>
        <v>0.5</v>
      </c>
      <c r="AT66" s="10">
        <f>AG66/28</f>
        <v>0.42857142857142855</v>
      </c>
      <c r="AU66" s="10">
        <f>AVERAGE(AP66:AT66)*2</f>
        <v>0.87142857142857133</v>
      </c>
      <c r="AV66" s="11">
        <f>Y66/776.02</f>
        <v>2.4938763813259053E-2</v>
      </c>
      <c r="AW66" s="11">
        <f>Z66/639.8</f>
        <v>3.1023473475230597E-2</v>
      </c>
      <c r="AX66" s="11">
        <f>AA66/804.19</f>
        <v>2.628635154595561E-2</v>
      </c>
      <c r="AY66" s="11">
        <f>AB66</f>
        <v>2.7199999999999998E-2</v>
      </c>
      <c r="AZ66" s="11">
        <f>AC66</f>
        <v>3.3599999999999998E-2</v>
      </c>
      <c r="BA66" s="11">
        <f>AD66</f>
        <v>3.9800000000000002E-2</v>
      </c>
      <c r="BB66" s="10">
        <f>AVERAGE(AV66:BA66)*2</f>
        <v>6.0949529611481756E-2</v>
      </c>
    </row>
    <row r="67" spans="1:55" x14ac:dyDescent="0.3">
      <c r="A67" s="2" t="s">
        <v>489</v>
      </c>
      <c r="B67" s="2" t="s">
        <v>167</v>
      </c>
      <c r="C67" s="2" t="s">
        <v>100</v>
      </c>
      <c r="D67" s="2" t="s">
        <v>100</v>
      </c>
      <c r="E67" s="2" t="s">
        <v>100</v>
      </c>
      <c r="F67" s="2" t="s">
        <v>100</v>
      </c>
      <c r="G67" s="2" t="s">
        <v>656</v>
      </c>
      <c r="H67" s="2" t="s">
        <v>886</v>
      </c>
      <c r="I67" s="2" t="s">
        <v>179</v>
      </c>
      <c r="J67" s="2">
        <v>2</v>
      </c>
      <c r="K67" s="9">
        <v>0.81061270395801932</v>
      </c>
      <c r="L67" s="9">
        <v>1</v>
      </c>
      <c r="M67" s="9">
        <v>0.35532826840982146</v>
      </c>
      <c r="N67" s="4">
        <v>32598</v>
      </c>
      <c r="O67" s="6">
        <f>N67/469316</f>
        <v>6.9458531138934104E-2</v>
      </c>
      <c r="P67" s="4">
        <f>(N67+25000+25000)/3</f>
        <v>27532.666666666668</v>
      </c>
      <c r="Q67" s="6">
        <f>P67/469316</f>
        <v>5.866551889700472E-2</v>
      </c>
      <c r="R67" s="4">
        <f>N67</f>
        <v>32598</v>
      </c>
      <c r="S67" s="6">
        <f>O67</f>
        <v>6.9458531138934104E-2</v>
      </c>
      <c r="T67" s="2" t="s">
        <v>724</v>
      </c>
      <c r="U67" s="2" t="s">
        <v>725</v>
      </c>
      <c r="V67" s="5">
        <v>35381841.600000001</v>
      </c>
      <c r="W67" s="5">
        <v>63496687.32</v>
      </c>
      <c r="X67" s="5">
        <v>176267920.40000001</v>
      </c>
      <c r="Y67" s="5">
        <f>V67/435464</f>
        <v>81.250899270663027</v>
      </c>
      <c r="Z67" s="5">
        <f>W67/435564</f>
        <v>145.78038432928341</v>
      </c>
      <c r="AA67" s="5">
        <f>X67/397992</f>
        <v>442.89312448491427</v>
      </c>
      <c r="AB67" s="6">
        <v>0.05</v>
      </c>
      <c r="AC67" s="6">
        <v>0.05</v>
      </c>
      <c r="AD67" s="6">
        <v>0.05</v>
      </c>
      <c r="AE67" s="2" t="s">
        <v>700</v>
      </c>
      <c r="AF67" s="2">
        <v>16</v>
      </c>
      <c r="AG67" s="2">
        <v>12</v>
      </c>
      <c r="AH67" s="8">
        <f>K67</f>
        <v>0.81061270395801932</v>
      </c>
      <c r="AI67" s="8">
        <f>L67</f>
        <v>1</v>
      </c>
      <c r="AJ67" s="8">
        <f>M67</f>
        <v>0.35532826840982146</v>
      </c>
      <c r="AK67" s="8">
        <f>AVERAGE(AH67:AJ67)</f>
        <v>0.72198032412261359</v>
      </c>
      <c r="AL67" s="11">
        <f>(O67/12.69)*100</f>
        <v>0.54734855113423253</v>
      </c>
      <c r="AM67" s="11">
        <f>(Q67/9.99)*100</f>
        <v>0.58724243140144861</v>
      </c>
      <c r="AN67" s="11">
        <f>(S67/12.69)*100</f>
        <v>0.54734855113423253</v>
      </c>
      <c r="AO67" s="11">
        <f>AVERAGE(AL67:AN67)</f>
        <v>0.56064651122330444</v>
      </c>
      <c r="AP67" s="10">
        <v>1</v>
      </c>
      <c r="AQ67" s="10">
        <v>0</v>
      </c>
      <c r="AR67" s="10">
        <v>0.25</v>
      </c>
      <c r="AS67" s="10">
        <f>AF67/32</f>
        <v>0.5</v>
      </c>
      <c r="AT67" s="10">
        <f>AG67/28</f>
        <v>0.42857142857142855</v>
      </c>
      <c r="AU67" s="10">
        <f>AVERAGE(AP67:AT67)*2</f>
        <v>0.87142857142857133</v>
      </c>
      <c r="AV67" s="11">
        <f>Y67/776.02</f>
        <v>0.10470206859444735</v>
      </c>
      <c r="AW67" s="11">
        <f>Z67/639.8</f>
        <v>0.22785305459406599</v>
      </c>
      <c r="AX67" s="11">
        <f>AA67/804.19</f>
        <v>0.55073194703355455</v>
      </c>
      <c r="AY67" s="11">
        <f>AB67</f>
        <v>0.05</v>
      </c>
      <c r="AZ67" s="11">
        <f>AC67</f>
        <v>0.05</v>
      </c>
      <c r="BA67" s="11">
        <f>AD67</f>
        <v>0.05</v>
      </c>
      <c r="BB67" s="10">
        <f>AVERAGE(AV67:BA67)*2</f>
        <v>0.34442902340735598</v>
      </c>
      <c r="BC67" s="10">
        <f>AVERAGE(AK67,AO67,AU67,BB67)</f>
        <v>0.6246211075454613</v>
      </c>
    </row>
    <row r="68" spans="1:55" x14ac:dyDescent="0.3">
      <c r="A68" s="2" t="s">
        <v>524</v>
      </c>
      <c r="B68" s="2" t="s">
        <v>186</v>
      </c>
      <c r="C68" s="2" t="s">
        <v>187</v>
      </c>
      <c r="D68" s="2" t="s">
        <v>187</v>
      </c>
      <c r="E68" s="2" t="s">
        <v>790</v>
      </c>
      <c r="F68" s="2" t="s">
        <v>187</v>
      </c>
      <c r="G68" s="2" t="s">
        <v>656</v>
      </c>
      <c r="H68" s="2" t="s">
        <v>886</v>
      </c>
      <c r="I68" s="2" t="s">
        <v>192</v>
      </c>
      <c r="J68" s="2">
        <v>2</v>
      </c>
      <c r="K68" s="9">
        <v>0.87917170663673738</v>
      </c>
      <c r="L68" s="9">
        <v>1</v>
      </c>
      <c r="M68" s="9">
        <v>0.90489601512812579</v>
      </c>
      <c r="N68" s="4">
        <v>1200</v>
      </c>
      <c r="O68" s="6">
        <f>N68/57981</f>
        <v>2.0696435039064522E-2</v>
      </c>
      <c r="P68" s="4">
        <v>873</v>
      </c>
      <c r="Q68" s="6">
        <f>P68/57981</f>
        <v>1.5056656490919439E-2</v>
      </c>
      <c r="R68" s="4">
        <v>1200</v>
      </c>
      <c r="S68" s="6">
        <v>2.0696435039064522E-2</v>
      </c>
      <c r="T68" s="2" t="s">
        <v>724</v>
      </c>
      <c r="U68" s="2" t="s">
        <v>725</v>
      </c>
      <c r="V68" s="5">
        <v>3809223.81</v>
      </c>
      <c r="W68" s="5">
        <v>4262552.92</v>
      </c>
      <c r="X68" s="5">
        <v>4806372.55</v>
      </c>
      <c r="Y68" s="5">
        <f>V68/57981</f>
        <v>65.697794277435719</v>
      </c>
      <c r="Z68" s="5">
        <f>W68/57981</f>
        <v>73.516374674462327</v>
      </c>
      <c r="AA68" s="5">
        <f>X68/57981</f>
        <v>82.895647712181571</v>
      </c>
      <c r="AB68" s="6">
        <v>0.1</v>
      </c>
      <c r="AC68" s="6">
        <v>0.1</v>
      </c>
      <c r="AD68" s="6">
        <v>0.1</v>
      </c>
      <c r="AE68" s="2" t="s">
        <v>772</v>
      </c>
      <c r="AF68" s="2">
        <v>16</v>
      </c>
      <c r="AG68" s="2">
        <v>12</v>
      </c>
      <c r="AH68" s="8">
        <f>K68</f>
        <v>0.87917170663673738</v>
      </c>
      <c r="AI68" s="8">
        <f>L68</f>
        <v>1</v>
      </c>
      <c r="AJ68" s="8">
        <f>M68</f>
        <v>0.90489601512812579</v>
      </c>
      <c r="AK68" s="8">
        <f>AVERAGE(AH68:AJ68)</f>
        <v>0.92802257392162113</v>
      </c>
      <c r="AL68" s="11">
        <f>(O68/12.69)*100</f>
        <v>0.16309247469711996</v>
      </c>
      <c r="AM68" s="11">
        <f>(Q68/9.99)*100</f>
        <v>0.15071728219138578</v>
      </c>
      <c r="AN68" s="11">
        <f>(S68/12.69)*100</f>
        <v>0.16309247469711996</v>
      </c>
      <c r="AO68" s="11">
        <f>AVERAGE(AL68:AN68)</f>
        <v>0.15896741052854191</v>
      </c>
      <c r="AP68" s="10">
        <v>1</v>
      </c>
      <c r="AQ68" s="10">
        <v>0</v>
      </c>
      <c r="AR68" s="10">
        <v>0.25</v>
      </c>
      <c r="AS68" s="10">
        <f>AF68/32</f>
        <v>0.5</v>
      </c>
      <c r="AT68" s="10">
        <f>AG68/28</f>
        <v>0.42857142857142855</v>
      </c>
      <c r="AU68" s="10">
        <f>AVERAGE(AP68:AT68)*2</f>
        <v>0.87142857142857133</v>
      </c>
      <c r="AV68" s="11">
        <f>Y68/776.02</f>
        <v>8.4659924070817405E-2</v>
      </c>
      <c r="AW68" s="11">
        <f>Z68/639.8</f>
        <v>0.11490524331738408</v>
      </c>
      <c r="AX68" s="11">
        <f>AA68/804.19</f>
        <v>0.10307967981718445</v>
      </c>
      <c r="AY68" s="11">
        <f>AB68</f>
        <v>0.1</v>
      </c>
      <c r="AZ68" s="11">
        <f>AC68</f>
        <v>0.1</v>
      </c>
      <c r="BA68" s="11">
        <f>AD68</f>
        <v>0.1</v>
      </c>
      <c r="BB68" s="10">
        <f>AVERAGE(AV68:BA68)*2</f>
        <v>0.20088161573512864</v>
      </c>
      <c r="BC68" s="10">
        <f>AVERAGE(AK68,AO68,AU68,BB68)</f>
        <v>0.53982504290346578</v>
      </c>
    </row>
    <row r="69" spans="1:55" x14ac:dyDescent="0.3">
      <c r="A69" s="2" t="s">
        <v>601</v>
      </c>
      <c r="B69" s="2" t="s">
        <v>201</v>
      </c>
      <c r="C69" s="2" t="s">
        <v>247</v>
      </c>
      <c r="D69" s="2" t="s">
        <v>247</v>
      </c>
      <c r="E69" s="2" t="s">
        <v>247</v>
      </c>
      <c r="F69" s="2" t="s">
        <v>247</v>
      </c>
      <c r="G69" s="2" t="s">
        <v>656</v>
      </c>
      <c r="H69" s="2" t="s">
        <v>886</v>
      </c>
      <c r="I69" s="2" t="s">
        <v>249</v>
      </c>
      <c r="J69" s="2">
        <v>2</v>
      </c>
      <c r="K69" s="9">
        <v>0.8169849151883336</v>
      </c>
      <c r="L69" s="9">
        <v>1</v>
      </c>
      <c r="M69" s="9">
        <v>0.60169600854010685</v>
      </c>
      <c r="N69" s="4">
        <v>702</v>
      </c>
      <c r="O69" s="6">
        <f>N69/475643</f>
        <v>1.4758968385953331E-3</v>
      </c>
      <c r="P69" s="4">
        <v>1253</v>
      </c>
      <c r="Q69" s="6">
        <f>P69/475643</f>
        <v>2.63432868769224E-3</v>
      </c>
      <c r="R69" s="4">
        <v>4736</v>
      </c>
      <c r="S69" s="6">
        <f>R69/358523</f>
        <v>1.3209752233468982E-2</v>
      </c>
      <c r="T69" s="2" t="s">
        <v>723</v>
      </c>
      <c r="U69" s="2" t="s">
        <v>722</v>
      </c>
      <c r="V69" s="5" t="s">
        <v>662</v>
      </c>
      <c r="W69" s="5" t="s">
        <v>662</v>
      </c>
      <c r="Y69" s="5" t="s">
        <v>662</v>
      </c>
      <c r="Z69" s="5" t="s">
        <v>662</v>
      </c>
      <c r="AB69" s="5" t="s">
        <v>662</v>
      </c>
      <c r="AC69" s="5" t="s">
        <v>662</v>
      </c>
      <c r="AE69" s="2" t="s">
        <v>776</v>
      </c>
      <c r="AF69" s="2">
        <v>12</v>
      </c>
      <c r="AG69" s="2">
        <v>8</v>
      </c>
      <c r="AH69" s="8">
        <f>K69</f>
        <v>0.8169849151883336</v>
      </c>
      <c r="AI69" s="8">
        <f>L69</f>
        <v>1</v>
      </c>
      <c r="AJ69" s="8">
        <f>M69</f>
        <v>0.60169600854010685</v>
      </c>
      <c r="AK69" s="8">
        <f>AVERAGE(AH69:AJ69)</f>
        <v>0.80622697457614689</v>
      </c>
      <c r="AL69" s="11">
        <f>(O69/12.69)*100</f>
        <v>1.163039273912792E-2</v>
      </c>
      <c r="AM69" s="11">
        <f>(Q69/9.99)*100</f>
        <v>2.6369656533455858E-2</v>
      </c>
      <c r="AN69" s="11">
        <f>(S69/12.69)*100</f>
        <v>0.10409576228107946</v>
      </c>
      <c r="AO69" s="11">
        <f>AVERAGE(AL69:AN69)</f>
        <v>4.7365270517887748E-2</v>
      </c>
      <c r="AP69" s="10">
        <v>0.25</v>
      </c>
      <c r="AQ69" s="10">
        <v>1</v>
      </c>
      <c r="AR69" s="10">
        <v>0.25</v>
      </c>
      <c r="AS69" s="10">
        <f>AF69/32</f>
        <v>0.375</v>
      </c>
      <c r="AT69" s="10">
        <f>AG69/28</f>
        <v>0.2857142857142857</v>
      </c>
      <c r="AU69" s="10">
        <f>AVERAGE(AP69:AT69)*2</f>
        <v>0.86428571428571421</v>
      </c>
    </row>
    <row r="70" spans="1:55" x14ac:dyDescent="0.3">
      <c r="A70" s="2" t="s">
        <v>448</v>
      </c>
      <c r="B70" s="2" t="s">
        <v>131</v>
      </c>
      <c r="C70" s="2" t="s">
        <v>139</v>
      </c>
      <c r="D70" s="2" t="s">
        <v>139</v>
      </c>
      <c r="E70" s="2" t="s">
        <v>139</v>
      </c>
      <c r="F70" s="2" t="s">
        <v>139</v>
      </c>
      <c r="G70" s="2" t="s">
        <v>656</v>
      </c>
      <c r="H70" s="2" t="s">
        <v>886</v>
      </c>
      <c r="I70" s="2" t="s">
        <v>136</v>
      </c>
      <c r="J70" s="2">
        <v>2</v>
      </c>
      <c r="N70" s="4" t="s">
        <v>662</v>
      </c>
      <c r="P70" s="4" t="s">
        <v>662</v>
      </c>
      <c r="T70" s="2" t="s">
        <v>724</v>
      </c>
      <c r="U70" s="2" t="s">
        <v>725</v>
      </c>
      <c r="V70" s="5" t="s">
        <v>662</v>
      </c>
      <c r="W70" s="5" t="s">
        <v>662</v>
      </c>
      <c r="Y70" s="5" t="s">
        <v>662</v>
      </c>
      <c r="Z70" s="5" t="s">
        <v>662</v>
      </c>
      <c r="AB70" s="5" t="s">
        <v>662</v>
      </c>
      <c r="AC70" s="5" t="s">
        <v>662</v>
      </c>
      <c r="AE70" s="2" t="s">
        <v>690</v>
      </c>
      <c r="AF70" s="2">
        <v>16</v>
      </c>
      <c r="AG70" s="2">
        <v>16</v>
      </c>
      <c r="AH70" s="8">
        <v>0.69079971466350321</v>
      </c>
      <c r="AI70" s="8">
        <v>1</v>
      </c>
      <c r="AJ70" s="8">
        <v>0.2269734638328933</v>
      </c>
      <c r="AK70" s="8">
        <f>AVERAGE(AH70:AJ70)</f>
        <v>0.6392577261654655</v>
      </c>
      <c r="AP70" s="10">
        <v>1</v>
      </c>
      <c r="AQ70" s="10">
        <v>0</v>
      </c>
      <c r="AR70" s="10">
        <v>0</v>
      </c>
      <c r="AS70" s="10">
        <f>AF70/32</f>
        <v>0.5</v>
      </c>
      <c r="AT70" s="10">
        <f>AG70/28</f>
        <v>0.5714285714285714</v>
      </c>
      <c r="AU70" s="10">
        <f>AVERAGE(AP70:AT70)*2</f>
        <v>0.82857142857142851</v>
      </c>
    </row>
    <row r="71" spans="1:55" x14ac:dyDescent="0.3">
      <c r="A71" s="2" t="s">
        <v>585</v>
      </c>
      <c r="B71" s="2" t="s">
        <v>201</v>
      </c>
      <c r="C71" s="2" t="s">
        <v>249</v>
      </c>
      <c r="D71" s="2" t="s">
        <v>249</v>
      </c>
      <c r="E71" s="2" t="s">
        <v>838</v>
      </c>
      <c r="F71" s="2" t="s">
        <v>249</v>
      </c>
      <c r="G71" s="2" t="s">
        <v>657</v>
      </c>
      <c r="H71" s="2" t="s">
        <v>884</v>
      </c>
      <c r="I71" s="2" t="s">
        <v>249</v>
      </c>
      <c r="J71" s="2">
        <v>1</v>
      </c>
      <c r="N71" s="4" t="s">
        <v>662</v>
      </c>
      <c r="P71" s="4" t="s">
        <v>662</v>
      </c>
      <c r="T71" s="2" t="s">
        <v>724</v>
      </c>
      <c r="U71" s="2" t="s">
        <v>725</v>
      </c>
      <c r="V71" s="5" t="s">
        <v>662</v>
      </c>
      <c r="W71" s="5" t="s">
        <v>662</v>
      </c>
      <c r="Y71" s="5" t="s">
        <v>662</v>
      </c>
      <c r="Z71" s="5" t="s">
        <v>662</v>
      </c>
      <c r="AB71" s="5" t="s">
        <v>662</v>
      </c>
      <c r="AC71" s="5" t="s">
        <v>662</v>
      </c>
      <c r="AE71" s="2" t="s">
        <v>705</v>
      </c>
      <c r="AF71" s="2">
        <v>12</v>
      </c>
      <c r="AG71" s="2">
        <v>12</v>
      </c>
      <c r="AH71" s="8">
        <v>0.67012018010180208</v>
      </c>
      <c r="AI71" s="8">
        <v>1</v>
      </c>
      <c r="AJ71" s="8">
        <v>0.469831524545613</v>
      </c>
      <c r="AK71" s="8">
        <f>AVERAGE(AH71:AJ71)</f>
        <v>0.71331723488247167</v>
      </c>
      <c r="AP71" s="10">
        <v>1</v>
      </c>
      <c r="AQ71" s="10">
        <v>0</v>
      </c>
      <c r="AR71" s="10">
        <v>0.25</v>
      </c>
      <c r="AS71" s="10">
        <f>AF71/32</f>
        <v>0.375</v>
      </c>
      <c r="AT71" s="10">
        <f>AG71/28</f>
        <v>0.42857142857142855</v>
      </c>
      <c r="AU71" s="10">
        <f>AVERAGE(AP71:AT71)*2</f>
        <v>0.8214285714285714</v>
      </c>
    </row>
    <row r="72" spans="1:55" x14ac:dyDescent="0.3">
      <c r="A72" s="2" t="s">
        <v>429</v>
      </c>
      <c r="B72" s="2" t="s">
        <v>117</v>
      </c>
      <c r="C72" s="2" t="s">
        <v>120</v>
      </c>
      <c r="D72" s="2" t="s">
        <v>120</v>
      </c>
      <c r="E72" s="2" t="s">
        <v>120</v>
      </c>
      <c r="F72" s="2" t="s">
        <v>662</v>
      </c>
      <c r="G72" s="2" t="s">
        <v>656</v>
      </c>
      <c r="H72" s="2" t="s">
        <v>886</v>
      </c>
      <c r="I72" s="2" t="s">
        <v>124</v>
      </c>
      <c r="J72" s="2">
        <v>2</v>
      </c>
      <c r="K72" s="9">
        <v>0.50986124701991298</v>
      </c>
      <c r="L72" s="9">
        <v>0.8291423948770712</v>
      </c>
      <c r="M72" s="9">
        <v>0.59785956912833327</v>
      </c>
      <c r="N72" s="4">
        <v>2189</v>
      </c>
      <c r="O72" s="6">
        <f>N72/378180</f>
        <v>5.7882489819662594E-3</v>
      </c>
      <c r="P72" s="4">
        <v>1261</v>
      </c>
      <c r="Q72" s="6">
        <f>P72/378180</f>
        <v>3.3343910307261091E-3</v>
      </c>
      <c r="R72" s="4">
        <v>2189</v>
      </c>
      <c r="S72" s="6">
        <v>5.7882489819662594E-3</v>
      </c>
      <c r="T72" s="2" t="s">
        <v>723</v>
      </c>
      <c r="U72" s="2" t="s">
        <v>722</v>
      </c>
      <c r="AE72" s="2" t="s">
        <v>747</v>
      </c>
      <c r="AF72" s="2">
        <v>13</v>
      </c>
      <c r="AG72" s="2">
        <v>4</v>
      </c>
      <c r="AH72" s="8">
        <f>K72</f>
        <v>0.50986124701991298</v>
      </c>
      <c r="AI72" s="8">
        <f>L72</f>
        <v>0.8291423948770712</v>
      </c>
      <c r="AJ72" s="8">
        <f>M72</f>
        <v>0.59785956912833327</v>
      </c>
      <c r="AK72" s="8">
        <f>AVERAGE(AH72:AJ72)</f>
        <v>0.64562107034177252</v>
      </c>
      <c r="AL72" s="11">
        <f>(O72/12.69)*100</f>
        <v>4.5612679132909846E-2</v>
      </c>
      <c r="AM72" s="11">
        <f>(Q72/9.99)*100</f>
        <v>3.3377287594855948E-2</v>
      </c>
      <c r="AN72" s="11">
        <f>(S72/12.69)*100</f>
        <v>4.5612679132909846E-2</v>
      </c>
      <c r="AO72" s="11">
        <f>AVERAGE(AL72:AN72)</f>
        <v>4.1534215286891878E-2</v>
      </c>
      <c r="AP72" s="10">
        <v>0.25</v>
      </c>
      <c r="AQ72" s="10">
        <v>1</v>
      </c>
      <c r="AR72" s="10">
        <v>0.25</v>
      </c>
      <c r="AS72" s="10">
        <f>AF72/32</f>
        <v>0.40625</v>
      </c>
      <c r="AT72" s="10">
        <f>AG72/28</f>
        <v>0.14285714285714285</v>
      </c>
      <c r="AU72" s="10">
        <f>AVERAGE(AP72:AT72)*2</f>
        <v>0.81964285714285712</v>
      </c>
    </row>
    <row r="73" spans="1:55" x14ac:dyDescent="0.3">
      <c r="A73" s="2" t="s">
        <v>561</v>
      </c>
      <c r="B73" s="2" t="s">
        <v>201</v>
      </c>
      <c r="C73" s="2" t="s">
        <v>239</v>
      </c>
      <c r="D73" s="2" t="s">
        <v>286</v>
      </c>
      <c r="E73" s="2" t="s">
        <v>286</v>
      </c>
      <c r="F73" s="2" t="s">
        <v>662</v>
      </c>
      <c r="G73" s="2" t="s">
        <v>655</v>
      </c>
      <c r="H73" s="2" t="s">
        <v>888</v>
      </c>
      <c r="I73" s="2" t="s">
        <v>239</v>
      </c>
      <c r="J73" s="2">
        <v>3</v>
      </c>
      <c r="N73" s="4" t="s">
        <v>662</v>
      </c>
      <c r="P73" s="4" t="s">
        <v>662</v>
      </c>
      <c r="T73" s="2" t="s">
        <v>723</v>
      </c>
      <c r="U73" s="2" t="s">
        <v>722</v>
      </c>
      <c r="V73" s="5" t="s">
        <v>662</v>
      </c>
      <c r="W73" s="5" t="s">
        <v>662</v>
      </c>
      <c r="Y73" s="5" t="s">
        <v>662</v>
      </c>
      <c r="Z73" s="5" t="s">
        <v>662</v>
      </c>
      <c r="AB73" s="5" t="s">
        <v>662</v>
      </c>
      <c r="AC73" s="5" t="s">
        <v>662</v>
      </c>
      <c r="AE73" s="2" t="s">
        <v>755</v>
      </c>
      <c r="AF73" s="2">
        <v>8</v>
      </c>
      <c r="AG73" s="2">
        <v>8</v>
      </c>
      <c r="AH73" s="8">
        <v>0.60925090020118267</v>
      </c>
      <c r="AI73" s="8">
        <v>1</v>
      </c>
      <c r="AJ73" s="8">
        <v>0.48455335060474158</v>
      </c>
      <c r="AK73" s="8">
        <f>AVERAGE(AH73:AJ73)</f>
        <v>0.69793475026864149</v>
      </c>
      <c r="AP73" s="10">
        <v>0.25</v>
      </c>
      <c r="AQ73" s="10">
        <v>1</v>
      </c>
      <c r="AR73" s="10">
        <v>0.25</v>
      </c>
      <c r="AS73" s="10">
        <f>AF73/32</f>
        <v>0.25</v>
      </c>
      <c r="AT73" s="10">
        <f>AG73/28</f>
        <v>0.2857142857142857</v>
      </c>
      <c r="AU73" s="10">
        <f>AVERAGE(AP73:AT73)*2</f>
        <v>0.81428571428571428</v>
      </c>
    </row>
    <row r="74" spans="1:55" x14ac:dyDescent="0.3">
      <c r="A74" s="2" t="s">
        <v>454</v>
      </c>
      <c r="B74" s="2" t="s">
        <v>131</v>
      </c>
      <c r="C74" s="2" t="s">
        <v>136</v>
      </c>
      <c r="D74" s="2" t="s">
        <v>136</v>
      </c>
      <c r="E74" s="2" t="s">
        <v>143</v>
      </c>
      <c r="F74" s="2" t="s">
        <v>136</v>
      </c>
      <c r="G74" s="2" t="s">
        <v>653</v>
      </c>
      <c r="H74" s="2" t="s">
        <v>884</v>
      </c>
      <c r="I74" s="2" t="s">
        <v>136</v>
      </c>
      <c r="J74" s="2">
        <v>1</v>
      </c>
      <c r="K74" s="9">
        <v>0.65163970701892004</v>
      </c>
      <c r="L74" s="9">
        <v>1</v>
      </c>
      <c r="M74" s="9">
        <v>0.29571735595546406</v>
      </c>
      <c r="N74" s="4">
        <v>3266</v>
      </c>
      <c r="O74" s="6">
        <f>N74/327746</f>
        <v>9.965033898201657E-3</v>
      </c>
      <c r="P74" s="4">
        <v>1814</v>
      </c>
      <c r="Q74" s="6">
        <f>P74/295978</f>
        <v>6.1288338998168783E-3</v>
      </c>
      <c r="R74" s="4">
        <v>3266</v>
      </c>
      <c r="S74" s="6">
        <v>9.965033898201657E-3</v>
      </c>
      <c r="T74" s="2" t="s">
        <v>723</v>
      </c>
      <c r="U74" s="2" t="s">
        <v>722</v>
      </c>
      <c r="V74" s="5" t="s">
        <v>662</v>
      </c>
      <c r="W74" s="5" t="s">
        <v>662</v>
      </c>
      <c r="Y74" s="5" t="s">
        <v>662</v>
      </c>
      <c r="Z74" s="5" t="s">
        <v>662</v>
      </c>
      <c r="AB74" s="6" t="s">
        <v>662</v>
      </c>
      <c r="AC74" s="6" t="s">
        <v>662</v>
      </c>
      <c r="AE74" s="2" t="s">
        <v>762</v>
      </c>
      <c r="AF74" s="2">
        <v>9</v>
      </c>
      <c r="AG74" s="2">
        <v>4</v>
      </c>
      <c r="AH74" s="8">
        <f>K74</f>
        <v>0.65163970701892004</v>
      </c>
      <c r="AI74" s="8">
        <f>L74</f>
        <v>1</v>
      </c>
      <c r="AJ74" s="8">
        <f>M74</f>
        <v>0.29571735595546406</v>
      </c>
      <c r="AK74" s="8">
        <f>AVERAGE(AH74:AJ74)</f>
        <v>0.64911902099146135</v>
      </c>
      <c r="AL74" s="11">
        <f>(O74/12.69)*100</f>
        <v>7.8526665864473266E-2</v>
      </c>
      <c r="AM74" s="11">
        <f>(Q74/9.99)*100</f>
        <v>6.1349688686855641E-2</v>
      </c>
      <c r="AN74" s="11">
        <f>(S74/12.69)*100</f>
        <v>7.8526665864473266E-2</v>
      </c>
      <c r="AO74" s="11">
        <f>AVERAGE(AL74:AN74)</f>
        <v>7.2801006805267396E-2</v>
      </c>
      <c r="AP74" s="10">
        <v>0.25</v>
      </c>
      <c r="AQ74" s="10">
        <v>1</v>
      </c>
      <c r="AR74" s="10">
        <v>0.25</v>
      </c>
      <c r="AS74" s="10">
        <f>AF74/32</f>
        <v>0.28125</v>
      </c>
      <c r="AT74" s="10">
        <f>AG74/28</f>
        <v>0.14285714285714285</v>
      </c>
      <c r="AU74" s="10">
        <f>AVERAGE(AP74:AT74)*2</f>
        <v>0.76964285714285707</v>
      </c>
    </row>
    <row r="75" spans="1:55" x14ac:dyDescent="0.3">
      <c r="A75" s="2" t="s">
        <v>328</v>
      </c>
      <c r="B75" s="2" t="s">
        <v>27</v>
      </c>
      <c r="C75" s="2" t="s">
        <v>36</v>
      </c>
      <c r="D75" s="2" t="s">
        <v>36</v>
      </c>
      <c r="E75" s="3" t="s">
        <v>793</v>
      </c>
      <c r="F75" s="3" t="s">
        <v>36</v>
      </c>
      <c r="G75" s="2" t="s">
        <v>653</v>
      </c>
      <c r="H75" s="2" t="s">
        <v>884</v>
      </c>
      <c r="I75" s="2" t="s">
        <v>36</v>
      </c>
      <c r="J75" s="2">
        <v>1</v>
      </c>
      <c r="K75" s="9">
        <v>0.47525773706728841</v>
      </c>
      <c r="L75" s="9">
        <v>0.75594192453529774</v>
      </c>
      <c r="M75" s="9">
        <v>0.29076518064023638</v>
      </c>
      <c r="N75" s="4" t="s">
        <v>662</v>
      </c>
      <c r="P75" s="4" t="s">
        <v>662</v>
      </c>
      <c r="T75" s="2" t="s">
        <v>724</v>
      </c>
      <c r="U75" s="2" t="s">
        <v>725</v>
      </c>
      <c r="V75" s="5">
        <v>6649118.2000000002</v>
      </c>
      <c r="W75" s="5">
        <v>6649118.2000000002</v>
      </c>
      <c r="X75" s="5">
        <v>6649118.2000000002</v>
      </c>
      <c r="Y75" s="5">
        <f>V75/138496</f>
        <v>48.009460201016637</v>
      </c>
      <c r="Z75" s="5">
        <f>W75/138496</f>
        <v>48.009460201016637</v>
      </c>
      <c r="AA75" s="5">
        <f>X75/138496</f>
        <v>48.009460201016637</v>
      </c>
      <c r="AB75" s="6">
        <v>0.4</v>
      </c>
      <c r="AC75" s="6">
        <v>0.4</v>
      </c>
      <c r="AD75" s="6">
        <v>0.4</v>
      </c>
      <c r="AE75" s="2" t="s">
        <v>714</v>
      </c>
      <c r="AF75" s="2">
        <v>12</v>
      </c>
      <c r="AG75" s="2">
        <v>8</v>
      </c>
      <c r="AH75" s="8">
        <f>K75</f>
        <v>0.47525773706728841</v>
      </c>
      <c r="AI75" s="8">
        <f>L75</f>
        <v>0.75594192453529774</v>
      </c>
      <c r="AJ75" s="8">
        <f>M75</f>
        <v>0.29076518064023638</v>
      </c>
      <c r="AK75" s="8">
        <f>AVERAGE(AH75:AJ75)</f>
        <v>0.5073216140809409</v>
      </c>
      <c r="AP75" s="10">
        <v>1</v>
      </c>
      <c r="AQ75" s="10">
        <v>0</v>
      </c>
      <c r="AR75" s="10">
        <v>0.25</v>
      </c>
      <c r="AS75" s="10">
        <f>AF75/32</f>
        <v>0.375</v>
      </c>
      <c r="AT75" s="10">
        <f>AG75/28</f>
        <v>0.2857142857142857</v>
      </c>
      <c r="AU75" s="10">
        <f>AVERAGE(AP75:AT75)*2</f>
        <v>0.76428571428571423</v>
      </c>
      <c r="AV75" s="11">
        <f>Y75/776.02</f>
        <v>6.186626659237731E-2</v>
      </c>
      <c r="AW75" s="11">
        <f>Z75/639.8</f>
        <v>7.503823101127953E-2</v>
      </c>
      <c r="AX75" s="11">
        <f>AA75/804.19</f>
        <v>5.9699150948179701E-2</v>
      </c>
      <c r="AY75" s="11">
        <f>AB75</f>
        <v>0.4</v>
      </c>
      <c r="AZ75" s="11">
        <f>AC75</f>
        <v>0.4</v>
      </c>
      <c r="BA75" s="11">
        <f>AD75</f>
        <v>0.4</v>
      </c>
      <c r="BB75" s="10">
        <f>AVERAGE(AV75:BA75)*2</f>
        <v>0.46553454951727885</v>
      </c>
      <c r="BC75" s="10">
        <f>AVERAGE(AK75,AO75,AU75,BB75)</f>
        <v>0.57904729262797805</v>
      </c>
    </row>
    <row r="76" spans="1:55" x14ac:dyDescent="0.3">
      <c r="A76" s="2" t="s">
        <v>520</v>
      </c>
      <c r="B76" s="2" t="s">
        <v>186</v>
      </c>
      <c r="C76" s="2" t="s">
        <v>189</v>
      </c>
      <c r="D76" s="2" t="s">
        <v>189</v>
      </c>
      <c r="E76" s="2" t="s">
        <v>189</v>
      </c>
      <c r="F76" s="2" t="s">
        <v>189</v>
      </c>
      <c r="G76" s="2" t="s">
        <v>656</v>
      </c>
      <c r="H76" s="2" t="s">
        <v>886</v>
      </c>
      <c r="I76" s="2" t="s">
        <v>192</v>
      </c>
      <c r="J76" s="2">
        <v>2</v>
      </c>
      <c r="K76" s="9">
        <v>0.67042345076356868</v>
      </c>
      <c r="L76" s="9">
        <v>1</v>
      </c>
      <c r="M76" s="9">
        <v>0.40620225573461199</v>
      </c>
      <c r="N76" s="4">
        <v>7000</v>
      </c>
      <c r="O76" s="6">
        <f>N76/146967</f>
        <v>4.7629740009662032E-2</v>
      </c>
      <c r="P76" s="4">
        <v>9500</v>
      </c>
      <c r="Q76" s="6">
        <f>P76/146967</f>
        <v>6.4640361441684183E-2</v>
      </c>
      <c r="R76" s="4">
        <v>15000</v>
      </c>
      <c r="S76" s="6">
        <f>R76/146967</f>
        <v>0.10206372859213293</v>
      </c>
      <c r="T76" s="2" t="s">
        <v>724</v>
      </c>
      <c r="U76" s="2" t="s">
        <v>725</v>
      </c>
      <c r="V76" s="5">
        <v>40529536.5</v>
      </c>
      <c r="W76" s="5">
        <v>30343962.73</v>
      </c>
      <c r="X76" s="5">
        <v>40529536.5</v>
      </c>
      <c r="Y76" s="5">
        <f>V76/146967</f>
        <v>275.77304088672969</v>
      </c>
      <c r="Z76" s="5">
        <f>W76/146967</f>
        <v>206.46786509896779</v>
      </c>
      <c r="AA76" s="5">
        <f>X76/146967</f>
        <v>275.77304088672969</v>
      </c>
      <c r="AB76" s="6">
        <v>0.1</v>
      </c>
      <c r="AC76" s="6">
        <v>8.8400000000000006E-2</v>
      </c>
      <c r="AD76" s="6">
        <v>0.10639999999999999</v>
      </c>
      <c r="AE76" s="2" t="s">
        <v>711</v>
      </c>
      <c r="AF76" s="2">
        <v>12</v>
      </c>
      <c r="AG76" s="2">
        <v>8</v>
      </c>
      <c r="AH76" s="8">
        <f>K76</f>
        <v>0.67042345076356868</v>
      </c>
      <c r="AI76" s="8">
        <f>L76</f>
        <v>1</v>
      </c>
      <c r="AJ76" s="8">
        <f>M76</f>
        <v>0.40620225573461199</v>
      </c>
      <c r="AK76" s="8">
        <f>AVERAGE(AH76:AJ76)</f>
        <v>0.69220856883272697</v>
      </c>
      <c r="AL76" s="11">
        <f>(O76/12.69)*100</f>
        <v>0.3753328605962335</v>
      </c>
      <c r="AM76" s="11">
        <f>(Q76/9.99)*100</f>
        <v>0.64705066508192366</v>
      </c>
      <c r="AN76" s="11">
        <f>(S76/12.69)*100</f>
        <v>0.80428470127764329</v>
      </c>
      <c r="AO76" s="11">
        <f>AVERAGE(AL76:AN76)</f>
        <v>0.60888940898526678</v>
      </c>
      <c r="AP76" s="10">
        <v>1</v>
      </c>
      <c r="AQ76" s="10">
        <v>0</v>
      </c>
      <c r="AR76" s="10">
        <v>0.25</v>
      </c>
      <c r="AS76" s="10">
        <f>AF76/32</f>
        <v>0.375</v>
      </c>
      <c r="AT76" s="10">
        <f>AG76/28</f>
        <v>0.2857142857142857</v>
      </c>
      <c r="AU76" s="10">
        <f>AVERAGE(AP76:AT76)*2</f>
        <v>0.76428571428571423</v>
      </c>
      <c r="AV76" s="11">
        <f>Y76/776.02</f>
        <v>0.35536847102746022</v>
      </c>
      <c r="AW76" s="11">
        <f>Z76/639.8</f>
        <v>0.3227068851187368</v>
      </c>
      <c r="AX76" s="11">
        <f>AA76/804.19</f>
        <v>0.34292025626621775</v>
      </c>
      <c r="AY76" s="11">
        <f>AB76</f>
        <v>0.1</v>
      </c>
      <c r="AZ76" s="11">
        <f>AC76</f>
        <v>8.8400000000000006E-2</v>
      </c>
      <c r="BA76" s="11">
        <f>AD76</f>
        <v>0.10639999999999999</v>
      </c>
      <c r="BB76" s="10">
        <f>AVERAGE(AV76:BA76)*2</f>
        <v>0.43859853747080496</v>
      </c>
      <c r="BC76" s="10">
        <f>AVERAGE(AK76,AO76,AU76,BB76)</f>
        <v>0.62599555739362822</v>
      </c>
    </row>
    <row r="77" spans="1:55" x14ac:dyDescent="0.3">
      <c r="A77" s="2" t="s">
        <v>574</v>
      </c>
      <c r="B77" s="2" t="s">
        <v>201</v>
      </c>
      <c r="C77" s="2" t="s">
        <v>241</v>
      </c>
      <c r="D77" s="2" t="s">
        <v>241</v>
      </c>
      <c r="E77" s="2" t="s">
        <v>789</v>
      </c>
      <c r="F77" s="2" t="s">
        <v>662</v>
      </c>
      <c r="G77" s="2" t="s">
        <v>655</v>
      </c>
      <c r="H77" s="2" t="s">
        <v>888</v>
      </c>
      <c r="I77" s="2" t="s">
        <v>252</v>
      </c>
      <c r="J77" s="2">
        <v>3</v>
      </c>
      <c r="K77" s="9">
        <v>0.50790552510990383</v>
      </c>
      <c r="L77" s="9">
        <v>1</v>
      </c>
      <c r="M77" s="9">
        <v>0.20683806331856772</v>
      </c>
      <c r="N77" s="4">
        <v>364</v>
      </c>
      <c r="O77" s="6">
        <f>N77/67408</f>
        <v>5.399952527889865E-3</v>
      </c>
      <c r="P77" s="4">
        <v>439</v>
      </c>
      <c r="Q77" s="6">
        <f>P77/67408</f>
        <v>6.5125801091858535E-3</v>
      </c>
      <c r="R77" s="4">
        <v>481</v>
      </c>
      <c r="S77" s="6">
        <f>R77/67408</f>
        <v>7.1356515547116072E-3</v>
      </c>
      <c r="T77" s="2" t="s">
        <v>723</v>
      </c>
      <c r="U77" s="2" t="s">
        <v>722</v>
      </c>
      <c r="V77" s="5">
        <v>2047301</v>
      </c>
      <c r="W77" s="5">
        <v>1598798</v>
      </c>
      <c r="X77" s="5">
        <v>2407301</v>
      </c>
      <c r="Y77" s="5">
        <f>V77/67408</f>
        <v>30.37178079753145</v>
      </c>
      <c r="Z77" s="5">
        <f>W77/67408</f>
        <v>23.718223356278187</v>
      </c>
      <c r="AA77" s="5">
        <f>Y77</f>
        <v>30.37178079753145</v>
      </c>
      <c r="AB77" s="6">
        <v>0.16</v>
      </c>
      <c r="AC77" s="6">
        <v>0.1166</v>
      </c>
      <c r="AD77" s="6">
        <v>0.16</v>
      </c>
      <c r="AE77" s="2" t="s">
        <v>757</v>
      </c>
      <c r="AF77" s="2">
        <v>8</v>
      </c>
      <c r="AG77" s="2">
        <v>4</v>
      </c>
      <c r="AH77" s="8">
        <f>K77</f>
        <v>0.50790552510990383</v>
      </c>
      <c r="AI77" s="8">
        <f>L77</f>
        <v>1</v>
      </c>
      <c r="AJ77" s="8">
        <f>M77</f>
        <v>0.20683806331856772</v>
      </c>
      <c r="AK77" s="8">
        <f>AVERAGE(AH77:AJ77)</f>
        <v>0.57158119614282388</v>
      </c>
      <c r="AL77" s="11">
        <f>(O77/12.69)*100</f>
        <v>4.2552817398659307E-2</v>
      </c>
      <c r="AM77" s="11">
        <f>(Q77/9.99)*100</f>
        <v>6.5190992083942481E-2</v>
      </c>
      <c r="AN77" s="11">
        <f>(S77/12.69)*100</f>
        <v>5.6230508705371211E-2</v>
      </c>
      <c r="AO77" s="11">
        <f>AVERAGE(AL77:AN77)</f>
        <v>5.4658106062657669E-2</v>
      </c>
      <c r="AP77" s="10">
        <v>0.25</v>
      </c>
      <c r="AQ77" s="10">
        <v>1</v>
      </c>
      <c r="AR77" s="10">
        <v>0.25</v>
      </c>
      <c r="AS77" s="10">
        <f>AF77/32</f>
        <v>0.25</v>
      </c>
      <c r="AT77" s="10">
        <f>AG77/28</f>
        <v>0.14285714285714285</v>
      </c>
      <c r="AU77" s="10">
        <f>AVERAGE(AP77:AT77)*2</f>
        <v>0.75714285714285712</v>
      </c>
      <c r="AV77" s="11">
        <f>Y77/776.02</f>
        <v>3.9137884071971663E-2</v>
      </c>
      <c r="AW77" s="11">
        <f>Z77/639.8</f>
        <v>3.7071308778177853E-2</v>
      </c>
      <c r="AX77" s="11">
        <f>AA77/804.19</f>
        <v>3.7766921744278648E-2</v>
      </c>
      <c r="AY77" s="11">
        <f>AB77</f>
        <v>0.16</v>
      </c>
      <c r="AZ77" s="11">
        <f>AC77</f>
        <v>0.1166</v>
      </c>
      <c r="BA77" s="11">
        <f>AD77</f>
        <v>0.16</v>
      </c>
      <c r="BB77" s="10">
        <f>AVERAGE(AV77:BA77)*2</f>
        <v>0.18352537153147605</v>
      </c>
      <c r="BC77" s="10">
        <f>AVERAGE(AK77,AO77,AU77,BB77)</f>
        <v>0.39172688271995365</v>
      </c>
    </row>
    <row r="78" spans="1:55" x14ac:dyDescent="0.3">
      <c r="A78" s="2" t="s">
        <v>379</v>
      </c>
      <c r="B78" s="2" t="s">
        <v>70</v>
      </c>
      <c r="C78" s="2" t="s">
        <v>73</v>
      </c>
      <c r="D78" s="2" t="s">
        <v>101</v>
      </c>
      <c r="E78" s="3" t="s">
        <v>101</v>
      </c>
      <c r="F78" s="3" t="s">
        <v>101</v>
      </c>
      <c r="G78" s="2" t="s">
        <v>655</v>
      </c>
      <c r="H78" s="2" t="s">
        <v>888</v>
      </c>
      <c r="I78" s="2" t="s">
        <v>74</v>
      </c>
      <c r="J78" s="2">
        <v>3</v>
      </c>
      <c r="N78" s="4" t="s">
        <v>662</v>
      </c>
      <c r="P78" s="4" t="s">
        <v>662</v>
      </c>
      <c r="T78" s="2" t="s">
        <v>723</v>
      </c>
      <c r="U78" s="2" t="s">
        <v>722</v>
      </c>
      <c r="V78" s="5" t="s">
        <v>662</v>
      </c>
      <c r="W78" s="5" t="s">
        <v>662</v>
      </c>
      <c r="Y78" s="5" t="s">
        <v>662</v>
      </c>
      <c r="Z78" s="5" t="s">
        <v>662</v>
      </c>
      <c r="AB78" s="5" t="s">
        <v>662</v>
      </c>
      <c r="AC78" s="5" t="s">
        <v>662</v>
      </c>
      <c r="AE78" s="2" t="s">
        <v>775</v>
      </c>
      <c r="AF78" s="2">
        <v>8</v>
      </c>
      <c r="AG78" s="2">
        <v>4</v>
      </c>
      <c r="AH78" s="8">
        <v>0.48159999999999997</v>
      </c>
      <c r="AI78" s="8">
        <v>0.83819999999999995</v>
      </c>
      <c r="AJ78" s="8">
        <v>0.1086</v>
      </c>
      <c r="AK78" s="8">
        <f>AVERAGE(AH78:AJ78)</f>
        <v>0.4761333333333333</v>
      </c>
      <c r="AP78" s="10">
        <v>0.25</v>
      </c>
      <c r="AQ78" s="10">
        <v>1</v>
      </c>
      <c r="AR78" s="10">
        <v>0.25</v>
      </c>
      <c r="AS78" s="10">
        <f>AF78/32</f>
        <v>0.25</v>
      </c>
      <c r="AT78" s="10">
        <f>AG78/28</f>
        <v>0.14285714285714285</v>
      </c>
      <c r="AU78" s="10">
        <f>AVERAGE(AP78:AT78)*2</f>
        <v>0.75714285714285712</v>
      </c>
    </row>
    <row r="79" spans="1:55" x14ac:dyDescent="0.3">
      <c r="A79" s="2" t="s">
        <v>472</v>
      </c>
      <c r="B79" s="2" t="s">
        <v>146</v>
      </c>
      <c r="C79" s="2" t="s">
        <v>155</v>
      </c>
      <c r="D79" s="2" t="s">
        <v>155</v>
      </c>
      <c r="E79" s="2" t="s">
        <v>155</v>
      </c>
      <c r="F79" s="2" t="s">
        <v>155</v>
      </c>
      <c r="G79" s="2" t="s">
        <v>658</v>
      </c>
      <c r="H79" s="2" t="s">
        <v>887</v>
      </c>
      <c r="I79" s="2" t="s">
        <v>155</v>
      </c>
      <c r="J79" s="2">
        <v>1</v>
      </c>
      <c r="K79" s="9">
        <v>0.60860408898331186</v>
      </c>
      <c r="L79" s="9">
        <v>1</v>
      </c>
      <c r="M79" s="9">
        <v>0.61236281804244619</v>
      </c>
      <c r="N79" s="4" t="s">
        <v>662</v>
      </c>
      <c r="P79" s="4" t="s">
        <v>662</v>
      </c>
      <c r="T79" s="2" t="s">
        <v>721</v>
      </c>
      <c r="U79" s="2" t="s">
        <v>725</v>
      </c>
      <c r="V79" s="5">
        <v>390319082.64999998</v>
      </c>
      <c r="W79" s="5">
        <v>390319082.64999998</v>
      </c>
      <c r="X79" s="5">
        <v>390319082.64999998</v>
      </c>
      <c r="Y79" s="5">
        <f>V79/5857904</f>
        <v>66.631184575575148</v>
      </c>
      <c r="Z79" s="5">
        <f>W79/5857904</f>
        <v>66.631184575575148</v>
      </c>
      <c r="AA79" s="5">
        <f>X79/5857904</f>
        <v>66.631184575575148</v>
      </c>
      <c r="AE79" s="2" t="s">
        <v>735</v>
      </c>
      <c r="AF79" s="2">
        <v>6</v>
      </c>
      <c r="AG79" s="2">
        <v>4</v>
      </c>
      <c r="AH79" s="8">
        <f>K79</f>
        <v>0.60860408898331186</v>
      </c>
      <c r="AI79" s="8">
        <f>L79</f>
        <v>1</v>
      </c>
      <c r="AJ79" s="8">
        <f>M79</f>
        <v>0.61236281804244619</v>
      </c>
      <c r="AK79" s="8">
        <f>AVERAGE(AH79:AJ79)</f>
        <v>0.74032230234191942</v>
      </c>
      <c r="AP79" s="10">
        <v>0.75</v>
      </c>
      <c r="AQ79" s="10">
        <v>0</v>
      </c>
      <c r="AR79" s="10">
        <v>0.75</v>
      </c>
      <c r="AS79" s="10">
        <f>AF79/32</f>
        <v>0.1875</v>
      </c>
      <c r="AT79" s="10">
        <f>AG79/28</f>
        <v>0.14285714285714285</v>
      </c>
      <c r="AU79" s="10">
        <f>AVERAGE(AP79:AT79)*2</f>
        <v>0.7321428571428571</v>
      </c>
      <c r="AV79" s="11">
        <f>Y79/776.02</f>
        <v>8.5862715620183952E-2</v>
      </c>
      <c r="AW79" s="11">
        <f>Z79/639.8</f>
        <v>0.10414377082771983</v>
      </c>
      <c r="AX79" s="11">
        <f>AA79/804.19</f>
        <v>8.2855027512870272E-2</v>
      </c>
      <c r="AY79" s="11"/>
    </row>
    <row r="80" spans="1:55" x14ac:dyDescent="0.3">
      <c r="A80" s="2">
        <v>5220454</v>
      </c>
      <c r="B80" s="2" t="s">
        <v>58</v>
      </c>
      <c r="C80" s="2" t="s">
        <v>62</v>
      </c>
      <c r="D80" s="2" t="s">
        <v>62</v>
      </c>
      <c r="E80" s="2" t="s">
        <v>720</v>
      </c>
      <c r="F80" s="2" t="s">
        <v>62</v>
      </c>
      <c r="G80" s="2" t="s">
        <v>653</v>
      </c>
      <c r="H80" s="2" t="s">
        <v>884</v>
      </c>
      <c r="I80" s="2" t="s">
        <v>62</v>
      </c>
      <c r="J80" s="2">
        <v>1</v>
      </c>
      <c r="K80" s="9">
        <v>0.79699460539932931</v>
      </c>
      <c r="L80" s="9">
        <v>1</v>
      </c>
      <c r="M80" s="9">
        <v>0.60148225951903367</v>
      </c>
      <c r="N80" s="4">
        <v>40</v>
      </c>
      <c r="O80" s="6">
        <f>N80/153522</f>
        <v>2.6054897669389404E-4</v>
      </c>
      <c r="P80" s="4">
        <v>31</v>
      </c>
      <c r="Q80" s="6">
        <f>P80/153522</f>
        <v>2.0192545693776789E-4</v>
      </c>
      <c r="R80" s="4">
        <v>40</v>
      </c>
      <c r="S80" s="6">
        <f>R80/153522</f>
        <v>2.6054897669389404E-4</v>
      </c>
      <c r="T80" s="2" t="s">
        <v>723</v>
      </c>
      <c r="U80" s="2" t="s">
        <v>722</v>
      </c>
      <c r="V80" s="5" t="s">
        <v>662</v>
      </c>
      <c r="W80" s="5" t="s">
        <v>662</v>
      </c>
      <c r="Y80" s="5" t="s">
        <v>662</v>
      </c>
      <c r="Z80" s="5" t="s">
        <v>662</v>
      </c>
      <c r="AB80" s="5" t="s">
        <v>662</v>
      </c>
      <c r="AC80" s="5" t="s">
        <v>662</v>
      </c>
      <c r="AE80" s="2" t="s">
        <v>768</v>
      </c>
      <c r="AF80" s="2">
        <v>6</v>
      </c>
      <c r="AG80" s="2">
        <v>4</v>
      </c>
      <c r="AH80" s="8">
        <f>K80</f>
        <v>0.79699460539932931</v>
      </c>
      <c r="AI80" s="8">
        <f>L80</f>
        <v>1</v>
      </c>
      <c r="AJ80" s="8">
        <f>M80</f>
        <v>0.60148225951903367</v>
      </c>
      <c r="AK80" s="8">
        <f>AVERAGE(AH80:AJ80)</f>
        <v>0.79949228830612107</v>
      </c>
      <c r="AL80" s="11">
        <f>(O80/12.69)*100</f>
        <v>2.0531834254837985E-3</v>
      </c>
      <c r="AM80" s="11">
        <f>(Q80/9.99)*100</f>
        <v>2.0212758452229015E-3</v>
      </c>
      <c r="AN80" s="11">
        <f>(S80/12.69)*100</f>
        <v>2.0531834254837985E-3</v>
      </c>
      <c r="AO80" s="11">
        <f>AVERAGE(AL80:AN80)</f>
        <v>2.0425475653968327E-3</v>
      </c>
      <c r="AP80" s="10">
        <v>0.25</v>
      </c>
      <c r="AQ80" s="10">
        <v>1</v>
      </c>
      <c r="AR80" s="10">
        <v>0.25</v>
      </c>
      <c r="AS80" s="10">
        <f>AF80/32</f>
        <v>0.1875</v>
      </c>
      <c r="AT80" s="10">
        <f>AG80/28</f>
        <v>0.14285714285714285</v>
      </c>
      <c r="AU80" s="10">
        <f>AVERAGE(AP80:AT80)*2</f>
        <v>0.7321428571428571</v>
      </c>
    </row>
    <row r="81" spans="1:55" x14ac:dyDescent="0.3">
      <c r="A81" s="2" t="s">
        <v>591</v>
      </c>
      <c r="B81" s="2" t="s">
        <v>201</v>
      </c>
      <c r="C81" s="2" t="s">
        <v>249</v>
      </c>
      <c r="D81" s="2" t="s">
        <v>249</v>
      </c>
      <c r="E81" s="2" t="s">
        <v>240</v>
      </c>
      <c r="F81" s="2" t="s">
        <v>249</v>
      </c>
      <c r="G81" s="2" t="s">
        <v>657</v>
      </c>
      <c r="H81" s="2" t="s">
        <v>884</v>
      </c>
      <c r="I81" s="2" t="s">
        <v>249</v>
      </c>
      <c r="J81" s="2">
        <v>1</v>
      </c>
      <c r="K81" s="9">
        <v>0.49592646993658901</v>
      </c>
      <c r="L81" s="9">
        <v>1</v>
      </c>
      <c r="M81" s="9">
        <v>0.33600792258265039</v>
      </c>
      <c r="N81" s="4">
        <v>800</v>
      </c>
      <c r="O81" s="6">
        <f>N81/104508</f>
        <v>7.6549163700386572E-3</v>
      </c>
      <c r="P81" s="4">
        <v>1033</v>
      </c>
      <c r="Q81" s="6">
        <f>P81/104508</f>
        <v>9.8844107628124171E-3</v>
      </c>
      <c r="R81" s="4">
        <v>1200</v>
      </c>
      <c r="S81" s="6">
        <f>R81/104508</f>
        <v>1.1482374555057986E-2</v>
      </c>
      <c r="T81" s="2" t="s">
        <v>721</v>
      </c>
      <c r="U81" s="2" t="s">
        <v>725</v>
      </c>
      <c r="V81" s="5" t="s">
        <v>662</v>
      </c>
      <c r="W81" s="5" t="s">
        <v>662</v>
      </c>
      <c r="Y81" s="5" t="s">
        <v>662</v>
      </c>
      <c r="Z81" s="5" t="s">
        <v>662</v>
      </c>
      <c r="AB81" s="5" t="s">
        <v>662</v>
      </c>
      <c r="AC81" s="5" t="s">
        <v>662</v>
      </c>
      <c r="AE81" s="2" t="s">
        <v>689</v>
      </c>
      <c r="AF81" s="2">
        <v>12</v>
      </c>
      <c r="AG81" s="2">
        <v>12</v>
      </c>
      <c r="AH81" s="8">
        <f>K81</f>
        <v>0.49592646993658901</v>
      </c>
      <c r="AI81" s="8">
        <f>L81</f>
        <v>1</v>
      </c>
      <c r="AJ81" s="8">
        <f>M81</f>
        <v>0.33600792258265039</v>
      </c>
      <c r="AK81" s="8">
        <f>AVERAGE(AH81:AJ81)</f>
        <v>0.61064479750641321</v>
      </c>
      <c r="AL81" s="11">
        <f>(O81/12.69)*100</f>
        <v>6.0322430023945293E-2</v>
      </c>
      <c r="AM81" s="11">
        <f>(Q81/9.99)*100</f>
        <v>9.8943050678802963E-2</v>
      </c>
      <c r="AN81" s="11">
        <f>(S81/12.69)*100</f>
        <v>9.0483645035917937E-2</v>
      </c>
      <c r="AO81" s="11">
        <f>AVERAGE(AL81:AN81)</f>
        <v>8.3249708579555395E-2</v>
      </c>
      <c r="AP81" s="10">
        <v>0.75</v>
      </c>
      <c r="AQ81" s="10">
        <v>0</v>
      </c>
      <c r="AR81" s="10">
        <v>0.25</v>
      </c>
      <c r="AS81" s="10">
        <f>AF81/32</f>
        <v>0.375</v>
      </c>
      <c r="AT81" s="10">
        <f>AG81/28</f>
        <v>0.42857142857142855</v>
      </c>
      <c r="AU81" s="10">
        <f>AVERAGE(AP81:AT81)*2</f>
        <v>0.72142857142857142</v>
      </c>
    </row>
    <row r="82" spans="1:55" x14ac:dyDescent="0.3">
      <c r="A82" s="2" t="s">
        <v>535</v>
      </c>
      <c r="B82" s="2" t="s">
        <v>51</v>
      </c>
      <c r="C82" s="2" t="s">
        <v>199</v>
      </c>
      <c r="D82" s="2" t="s">
        <v>199</v>
      </c>
      <c r="E82" s="2" t="s">
        <v>199</v>
      </c>
      <c r="F82" s="2" t="s">
        <v>199</v>
      </c>
      <c r="G82" s="2" t="s">
        <v>652</v>
      </c>
      <c r="H82" s="2" t="s">
        <v>885</v>
      </c>
      <c r="I82" s="2" t="s">
        <v>124</v>
      </c>
      <c r="J82" s="2">
        <v>2</v>
      </c>
      <c r="N82" s="4" t="s">
        <v>662</v>
      </c>
      <c r="P82" s="4" t="s">
        <v>662</v>
      </c>
      <c r="T82" s="2" t="s">
        <v>724</v>
      </c>
      <c r="U82" s="2" t="s">
        <v>725</v>
      </c>
      <c r="V82" s="5" t="s">
        <v>662</v>
      </c>
      <c r="W82" s="5" t="s">
        <v>662</v>
      </c>
      <c r="Y82" s="5" t="s">
        <v>662</v>
      </c>
      <c r="Z82" s="5" t="s">
        <v>662</v>
      </c>
      <c r="AB82" s="5" t="s">
        <v>662</v>
      </c>
      <c r="AC82" s="5" t="s">
        <v>662</v>
      </c>
      <c r="AE82" s="2" t="s">
        <v>677</v>
      </c>
      <c r="AF82" s="2">
        <v>12</v>
      </c>
      <c r="AG82" s="2">
        <v>12</v>
      </c>
      <c r="AH82" s="8">
        <v>0.68899999999999995</v>
      </c>
      <c r="AI82" s="8">
        <v>1</v>
      </c>
      <c r="AJ82" s="8">
        <v>0.30009999999999998</v>
      </c>
      <c r="AK82" s="8">
        <f>AVERAGE(AH82:AJ82)</f>
        <v>0.66303333333333336</v>
      </c>
      <c r="AP82" s="10">
        <v>1</v>
      </c>
      <c r="AQ82" s="10">
        <v>0</v>
      </c>
      <c r="AR82" s="10">
        <v>0</v>
      </c>
      <c r="AS82" s="10">
        <f>AF82/32</f>
        <v>0.375</v>
      </c>
      <c r="AT82" s="10">
        <f>AG82/28</f>
        <v>0.42857142857142855</v>
      </c>
      <c r="AU82" s="10">
        <f>AVERAGE(AP82:AT82)*2</f>
        <v>0.72142857142857142</v>
      </c>
    </row>
    <row r="83" spans="1:55" x14ac:dyDescent="0.3">
      <c r="A83" s="2" t="s">
        <v>499</v>
      </c>
      <c r="B83" s="2" t="s">
        <v>167</v>
      </c>
      <c r="C83" s="2" t="s">
        <v>179</v>
      </c>
      <c r="D83" s="2" t="s">
        <v>643</v>
      </c>
      <c r="E83" s="2" t="s">
        <v>801</v>
      </c>
      <c r="F83" s="2" t="s">
        <v>179</v>
      </c>
      <c r="G83" s="2" t="s">
        <v>653</v>
      </c>
      <c r="H83" s="2" t="s">
        <v>884</v>
      </c>
      <c r="I83" s="2" t="s">
        <v>179</v>
      </c>
      <c r="J83" s="2">
        <v>1</v>
      </c>
      <c r="K83" s="9">
        <v>0.7699085663089914</v>
      </c>
      <c r="L83" s="9">
        <v>1</v>
      </c>
      <c r="M83" s="9">
        <v>0.34583134227260764</v>
      </c>
      <c r="N83" s="4">
        <v>2500</v>
      </c>
      <c r="O83" s="6">
        <f>N83/238940</f>
        <v>1.0462877709885327E-2</v>
      </c>
      <c r="P83" s="4">
        <v>2337</v>
      </c>
      <c r="Q83" s="6">
        <f>P83/238940</f>
        <v>9.780698083200803E-3</v>
      </c>
      <c r="R83" s="4">
        <v>2500</v>
      </c>
      <c r="S83" s="6">
        <v>1.0462877709885327E-2</v>
      </c>
      <c r="T83" s="2" t="s">
        <v>724</v>
      </c>
      <c r="U83" s="2" t="s">
        <v>725</v>
      </c>
      <c r="V83" s="5">
        <v>15922009.119999999</v>
      </c>
      <c r="W83" s="5">
        <v>28843674.879999999</v>
      </c>
      <c r="X83" s="5">
        <v>41765250.640000001</v>
      </c>
      <c r="Y83" s="5">
        <f>V83/238940</f>
        <v>66.636013727295548</v>
      </c>
      <c r="Z83" s="5">
        <f>W83/238940</f>
        <v>120.71513718925253</v>
      </c>
      <c r="AA83" s="5">
        <f>X83/238940</f>
        <v>174.79388398761196</v>
      </c>
      <c r="AB83" s="6">
        <v>3.9600000000000003E-2</v>
      </c>
      <c r="AC83" s="6">
        <v>3.9600000000000003E-2</v>
      </c>
      <c r="AD83" s="6">
        <v>3.9600000000000003E-2</v>
      </c>
      <c r="AE83" s="2" t="s">
        <v>693</v>
      </c>
      <c r="AF83" s="2">
        <v>8</v>
      </c>
      <c r="AG83" s="2">
        <v>8</v>
      </c>
      <c r="AH83" s="8">
        <f>K83</f>
        <v>0.7699085663089914</v>
      </c>
      <c r="AI83" s="8">
        <f>L83</f>
        <v>1</v>
      </c>
      <c r="AJ83" s="8">
        <f>M83</f>
        <v>0.34583134227260764</v>
      </c>
      <c r="AK83" s="8">
        <f>AVERAGE(AH83:AJ83)</f>
        <v>0.70524663619386629</v>
      </c>
      <c r="AL83" s="11">
        <f>(O83/12.69)*100</f>
        <v>8.2449784947874916E-2</v>
      </c>
      <c r="AM83" s="11">
        <f>(Q83/9.99)*100</f>
        <v>9.7904885717725751E-2</v>
      </c>
      <c r="AN83" s="11">
        <f>(S83/12.69)*100</f>
        <v>8.2449784947874916E-2</v>
      </c>
      <c r="AO83" s="11">
        <f>AVERAGE(AL83:AN83)</f>
        <v>8.7601485204491861E-2</v>
      </c>
      <c r="AP83" s="10">
        <v>1</v>
      </c>
      <c r="AQ83" s="10">
        <v>0</v>
      </c>
      <c r="AR83" s="10">
        <v>0.25</v>
      </c>
      <c r="AS83" s="10">
        <f>AF83/32</f>
        <v>0.25</v>
      </c>
      <c r="AT83" s="10">
        <f>AG83/28</f>
        <v>0.2857142857142857</v>
      </c>
      <c r="AU83" s="10">
        <f>AVERAGE(AP83:AT83)*2</f>
        <v>0.71428571428571419</v>
      </c>
      <c r="AV83" s="11">
        <f>Y83/776.02</f>
        <v>8.5868938593458358E-2</v>
      </c>
      <c r="AW83" s="11">
        <f>Z83/639.8</f>
        <v>0.18867636322171388</v>
      </c>
      <c r="AX83" s="11">
        <f>AA83/804.19</f>
        <v>0.2173539636001591</v>
      </c>
      <c r="AY83" s="11">
        <f>AB83</f>
        <v>3.9600000000000003E-2</v>
      </c>
      <c r="AZ83" s="11">
        <f>AC83</f>
        <v>3.9600000000000003E-2</v>
      </c>
      <c r="BA83" s="11">
        <f>AD83</f>
        <v>3.9600000000000003E-2</v>
      </c>
      <c r="BB83" s="10">
        <f>AVERAGE(AV83:BA83)*2</f>
        <v>0.20356642180511042</v>
      </c>
      <c r="BC83" s="10">
        <f>AVERAGE(AK83,AO83,AU83,BB83)</f>
        <v>0.42767506437229563</v>
      </c>
    </row>
    <row r="84" spans="1:55" x14ac:dyDescent="0.3">
      <c r="A84" s="2" t="s">
        <v>347</v>
      </c>
      <c r="B84" s="2" t="s">
        <v>52</v>
      </c>
      <c r="C84" s="2" t="s">
        <v>626</v>
      </c>
      <c r="D84" s="2" t="s">
        <v>626</v>
      </c>
      <c r="E84" s="3" t="s">
        <v>826</v>
      </c>
      <c r="F84" s="3" t="s">
        <v>662</v>
      </c>
      <c r="G84" s="2" t="s">
        <v>651</v>
      </c>
      <c r="H84" s="2" t="s">
        <v>886</v>
      </c>
      <c r="I84" s="2" t="s">
        <v>57</v>
      </c>
      <c r="J84" s="2">
        <v>3</v>
      </c>
      <c r="K84" s="9">
        <v>0.63410236463714509</v>
      </c>
      <c r="L84" s="9">
        <v>0.83890742225925852</v>
      </c>
      <c r="M84" s="9">
        <v>0.25969578618231692</v>
      </c>
      <c r="N84" s="4">
        <v>4290</v>
      </c>
      <c r="O84" s="6">
        <f>N84/189889</f>
        <v>2.2592145937890031E-2</v>
      </c>
      <c r="P84" s="4">
        <v>3555</v>
      </c>
      <c r="Q84" s="6">
        <f>P84/189889</f>
        <v>1.8721463591887894E-2</v>
      </c>
      <c r="R84" s="4">
        <v>4290</v>
      </c>
      <c r="S84" s="6">
        <f>R84/189889</f>
        <v>2.2592145937890031E-2</v>
      </c>
      <c r="T84" s="2" t="s">
        <v>724</v>
      </c>
      <c r="U84" s="2" t="s">
        <v>725</v>
      </c>
      <c r="V84" s="5">
        <v>35262289.5</v>
      </c>
      <c r="W84" s="5">
        <v>35262289.5</v>
      </c>
      <c r="X84" s="5">
        <v>35262289.5</v>
      </c>
      <c r="Y84" s="5">
        <f>V84/189889</f>
        <v>185.69948496226743</v>
      </c>
      <c r="Z84" s="5">
        <f>W84/189889</f>
        <v>185.69948496226743</v>
      </c>
      <c r="AA84" s="5">
        <f>X84/189889</f>
        <v>185.69948496226743</v>
      </c>
      <c r="AB84" s="6">
        <v>0.15590000000000001</v>
      </c>
      <c r="AC84" s="6">
        <v>0.15590000000000001</v>
      </c>
      <c r="AD84" s="6">
        <v>0.15590000000000001</v>
      </c>
      <c r="AE84" s="2" t="s">
        <v>693</v>
      </c>
      <c r="AF84" s="2">
        <v>8</v>
      </c>
      <c r="AG84" s="2">
        <v>8</v>
      </c>
      <c r="AH84" s="8">
        <f>K84</f>
        <v>0.63410236463714509</v>
      </c>
      <c r="AI84" s="8">
        <f>L84</f>
        <v>0.83890742225925852</v>
      </c>
      <c r="AJ84" s="8">
        <f>M84</f>
        <v>0.25969578618231692</v>
      </c>
      <c r="AK84" s="8">
        <f>AVERAGE(AH84:AJ84)</f>
        <v>0.57756852435957351</v>
      </c>
      <c r="AL84" s="11">
        <f>(O84/12.69)*100</f>
        <v>0.17803109486122956</v>
      </c>
      <c r="AM84" s="11">
        <f>(Q84/9.99)*100</f>
        <v>0.18740203795683577</v>
      </c>
      <c r="AN84" s="11">
        <f>(S84/12.69)*100</f>
        <v>0.17803109486122956</v>
      </c>
      <c r="AO84" s="11">
        <f>AVERAGE(AL84:AN84)</f>
        <v>0.18115474255976496</v>
      </c>
      <c r="AP84" s="10">
        <v>1</v>
      </c>
      <c r="AQ84" s="10">
        <v>0</v>
      </c>
      <c r="AR84" s="10">
        <v>0.25</v>
      </c>
      <c r="AS84" s="10">
        <f>AF84/32</f>
        <v>0.25</v>
      </c>
      <c r="AT84" s="10">
        <f>AG84/28</f>
        <v>0.2857142857142857</v>
      </c>
      <c r="AU84" s="10">
        <f>AVERAGE(AP84:AT84)*2</f>
        <v>0.71428571428571419</v>
      </c>
      <c r="AV84" s="11">
        <f>Y84/776.02</f>
        <v>0.23929729254692847</v>
      </c>
      <c r="AW84" s="11">
        <f>Z84/639.8</f>
        <v>0.29024614717453495</v>
      </c>
      <c r="AX84" s="11">
        <f>AA84/804.19</f>
        <v>0.23091493920872855</v>
      </c>
      <c r="AY84" s="11">
        <f>AB84</f>
        <v>0.15590000000000001</v>
      </c>
      <c r="AZ84" s="11">
        <f>AC84</f>
        <v>0.15590000000000001</v>
      </c>
      <c r="BA84" s="11">
        <f>AD84</f>
        <v>0.15590000000000001</v>
      </c>
      <c r="BB84" s="10">
        <f>AVERAGE(AV84:BA84)*2</f>
        <v>0.40938612631006399</v>
      </c>
      <c r="BC84" s="10">
        <f>AVERAGE(AK84,AO84,AU84,BB84)</f>
        <v>0.47059877687877916</v>
      </c>
    </row>
    <row r="85" spans="1:55" x14ac:dyDescent="0.3">
      <c r="A85" s="2" t="s">
        <v>519</v>
      </c>
      <c r="B85" s="2" t="s">
        <v>186</v>
      </c>
      <c r="C85" s="2" t="s">
        <v>187</v>
      </c>
      <c r="D85" s="2" t="s">
        <v>188</v>
      </c>
      <c r="E85" s="2" t="s">
        <v>796</v>
      </c>
      <c r="F85" s="2" t="s">
        <v>188</v>
      </c>
      <c r="G85" s="2" t="s">
        <v>651</v>
      </c>
      <c r="H85" s="2" t="s">
        <v>886</v>
      </c>
      <c r="I85" s="2" t="s">
        <v>667</v>
      </c>
      <c r="J85" s="2">
        <v>2</v>
      </c>
      <c r="K85" s="9">
        <v>0.79844924145721619</v>
      </c>
      <c r="L85" s="9">
        <v>1</v>
      </c>
      <c r="M85" s="9">
        <v>0.64336826465148189</v>
      </c>
      <c r="N85" s="4" t="s">
        <v>662</v>
      </c>
      <c r="P85" s="4" t="s">
        <v>662</v>
      </c>
      <c r="T85" s="2" t="s">
        <v>724</v>
      </c>
      <c r="U85" s="2" t="s">
        <v>725</v>
      </c>
      <c r="V85" s="5">
        <v>7776060.71</v>
      </c>
      <c r="W85" s="5">
        <v>9183556.9499999993</v>
      </c>
      <c r="X85" s="5">
        <v>14472849</v>
      </c>
      <c r="Y85" s="5">
        <f>V85/123590</f>
        <v>62.918203009952258</v>
      </c>
      <c r="Z85" s="5">
        <f>W85/123590</f>
        <v>74.306634436443076</v>
      </c>
      <c r="AA85" s="5">
        <f>X85/105503</f>
        <v>137.17950200468232</v>
      </c>
      <c r="AB85" s="6">
        <v>3.3799999999999997E-2</v>
      </c>
      <c r="AC85" s="6">
        <v>2.9600000000000001E-2</v>
      </c>
      <c r="AD85" s="6">
        <v>3.9600000000000003E-2</v>
      </c>
      <c r="AE85" s="2" t="s">
        <v>693</v>
      </c>
      <c r="AF85" s="2">
        <v>8</v>
      </c>
      <c r="AG85" s="2">
        <v>8</v>
      </c>
      <c r="AH85" s="8">
        <f>K85</f>
        <v>0.79844924145721619</v>
      </c>
      <c r="AI85" s="8">
        <f>L85</f>
        <v>1</v>
      </c>
      <c r="AJ85" s="8">
        <f>M85</f>
        <v>0.64336826465148189</v>
      </c>
      <c r="AK85" s="8">
        <f>AVERAGE(AH85:AJ85)</f>
        <v>0.81393916870289929</v>
      </c>
      <c r="AP85" s="10">
        <v>1</v>
      </c>
      <c r="AQ85" s="10">
        <v>0</v>
      </c>
      <c r="AR85" s="10">
        <v>0.25</v>
      </c>
      <c r="AS85" s="10">
        <f>AF85/32</f>
        <v>0.25</v>
      </c>
      <c r="AT85" s="10">
        <f>AG85/28</f>
        <v>0.2857142857142857</v>
      </c>
      <c r="AU85" s="10">
        <f>AVERAGE(AP85:AT85)*2</f>
        <v>0.71428571428571419</v>
      </c>
      <c r="AV85" s="11">
        <f>Y85/776.02</f>
        <v>8.1078068877029272E-2</v>
      </c>
      <c r="AW85" s="11">
        <f>Z85/639.8</f>
        <v>0.11614041018512516</v>
      </c>
      <c r="AX85" s="11">
        <f>AA85/804.19</f>
        <v>0.17058095972927084</v>
      </c>
      <c r="AY85" s="11">
        <f>AB85</f>
        <v>3.3799999999999997E-2</v>
      </c>
      <c r="AZ85" s="11">
        <f>AC85</f>
        <v>2.9600000000000001E-2</v>
      </c>
      <c r="BA85" s="11">
        <f>AD85</f>
        <v>3.9600000000000003E-2</v>
      </c>
      <c r="BB85" s="10">
        <f>AVERAGE(AV85:BA85)*2</f>
        <v>0.15693314626380844</v>
      </c>
    </row>
    <row r="86" spans="1:55" x14ac:dyDescent="0.3">
      <c r="A86" s="2" t="s">
        <v>466</v>
      </c>
      <c r="B86" s="2" t="s">
        <v>146</v>
      </c>
      <c r="C86" s="2" t="s">
        <v>627</v>
      </c>
      <c r="D86" s="2" t="s">
        <v>629</v>
      </c>
      <c r="E86" s="2" t="s">
        <v>792</v>
      </c>
      <c r="F86" s="2" t="s">
        <v>629</v>
      </c>
      <c r="G86" s="2" t="s">
        <v>651</v>
      </c>
      <c r="H86" s="2" t="s">
        <v>886</v>
      </c>
      <c r="I86" s="2" t="s">
        <v>155</v>
      </c>
      <c r="J86" s="2">
        <v>2</v>
      </c>
      <c r="K86" s="9">
        <v>0.61530938910887134</v>
      </c>
      <c r="L86" s="9">
        <v>1</v>
      </c>
      <c r="M86" s="9">
        <v>0.26878607236526891</v>
      </c>
      <c r="N86" s="4" t="s">
        <v>662</v>
      </c>
      <c r="P86" s="4" t="s">
        <v>662</v>
      </c>
      <c r="T86" s="2" t="s">
        <v>724</v>
      </c>
      <c r="U86" s="2" t="s">
        <v>725</v>
      </c>
      <c r="V86" s="5">
        <v>5800050.3600000003</v>
      </c>
      <c r="W86" s="5">
        <v>13568783</v>
      </c>
      <c r="X86" s="5">
        <v>25620507</v>
      </c>
      <c r="Y86" s="5">
        <f>V86/132461</f>
        <v>43.78685318697579</v>
      </c>
      <c r="Z86" s="5">
        <f>W86/132461</f>
        <v>102.43606042533274</v>
      </c>
      <c r="AA86" s="5">
        <f>X86/206728</f>
        <v>123.93341492202315</v>
      </c>
      <c r="AB86" s="6">
        <v>6.3E-3</v>
      </c>
      <c r="AC86" s="6">
        <v>1.7500000000000002E-2</v>
      </c>
      <c r="AD86" s="6">
        <v>3.4000000000000002E-2</v>
      </c>
      <c r="AE86" s="2" t="s">
        <v>693</v>
      </c>
      <c r="AF86" s="2">
        <v>8</v>
      </c>
      <c r="AG86" s="2">
        <v>8</v>
      </c>
      <c r="AH86" s="8">
        <f>K86</f>
        <v>0.61530938910887134</v>
      </c>
      <c r="AI86" s="8">
        <f>L86</f>
        <v>1</v>
      </c>
      <c r="AJ86" s="8">
        <f>M86</f>
        <v>0.26878607236526891</v>
      </c>
      <c r="AK86" s="8">
        <f>AVERAGE(AH86:AJ86)</f>
        <v>0.62803182049138007</v>
      </c>
      <c r="AP86" s="10">
        <v>1</v>
      </c>
      <c r="AQ86" s="10">
        <v>0</v>
      </c>
      <c r="AR86" s="10">
        <v>0.25</v>
      </c>
      <c r="AS86" s="10">
        <f>AF86/32</f>
        <v>0.25</v>
      </c>
      <c r="AT86" s="10">
        <f>AG86/28</f>
        <v>0.2857142857142857</v>
      </c>
      <c r="AU86" s="10">
        <f>AVERAGE(AP86:AT86)*2</f>
        <v>0.71428571428571419</v>
      </c>
      <c r="AV86" s="11">
        <f>Y86/776.02</f>
        <v>5.642490294963505E-2</v>
      </c>
      <c r="AW86" s="11">
        <f>Z86/639.8</f>
        <v>0.16010637765760041</v>
      </c>
      <c r="AX86" s="11">
        <f>AA86/804.19</f>
        <v>0.1541096195202914</v>
      </c>
      <c r="AY86" s="11">
        <f>AB86</f>
        <v>6.3E-3</v>
      </c>
      <c r="AZ86" s="11">
        <f>AC86</f>
        <v>1.7500000000000002E-2</v>
      </c>
      <c r="BA86" s="11">
        <f>AD86</f>
        <v>3.4000000000000002E-2</v>
      </c>
      <c r="BB86" s="10">
        <f>AVERAGE(AV86:BA86)*2</f>
        <v>0.1428136333758423</v>
      </c>
    </row>
    <row r="87" spans="1:55" x14ac:dyDescent="0.3">
      <c r="A87" s="2" t="s">
        <v>326</v>
      </c>
      <c r="B87" s="2" t="s">
        <v>27</v>
      </c>
      <c r="C87" s="2" t="s">
        <v>620</v>
      </c>
      <c r="D87" s="2" t="s">
        <v>620</v>
      </c>
      <c r="E87" s="3" t="s">
        <v>33</v>
      </c>
      <c r="F87" s="3" t="s">
        <v>662</v>
      </c>
      <c r="G87" s="2" t="s">
        <v>656</v>
      </c>
      <c r="H87" s="2" t="s">
        <v>886</v>
      </c>
      <c r="I87" s="2" t="s">
        <v>36</v>
      </c>
      <c r="J87" s="2">
        <v>3</v>
      </c>
      <c r="N87" s="4" t="s">
        <v>662</v>
      </c>
      <c r="P87" s="4" t="s">
        <v>662</v>
      </c>
      <c r="T87" s="2" t="s">
        <v>724</v>
      </c>
      <c r="U87" s="2" t="s">
        <v>725</v>
      </c>
      <c r="V87" s="5" t="s">
        <v>662</v>
      </c>
      <c r="W87" s="5" t="s">
        <v>662</v>
      </c>
      <c r="Y87" s="5" t="s">
        <v>662</v>
      </c>
      <c r="Z87" s="5" t="s">
        <v>662</v>
      </c>
      <c r="AB87" s="5" t="s">
        <v>662</v>
      </c>
      <c r="AC87" s="5" t="s">
        <v>662</v>
      </c>
      <c r="AE87" s="2" t="s">
        <v>707</v>
      </c>
      <c r="AF87" s="2">
        <v>16</v>
      </c>
      <c r="AG87" s="2">
        <v>8</v>
      </c>
      <c r="AH87" s="8">
        <v>0.36814853525145552</v>
      </c>
      <c r="AI87" s="8">
        <v>0.59590072436369368</v>
      </c>
      <c r="AJ87" s="8">
        <v>0.19576732348633724</v>
      </c>
      <c r="AK87" s="8">
        <f>AVERAGE(AH87:AJ87)</f>
        <v>0.38660552770049544</v>
      </c>
      <c r="AP87" s="10">
        <v>1</v>
      </c>
      <c r="AQ87" s="10">
        <v>0</v>
      </c>
      <c r="AR87" s="10">
        <v>0</v>
      </c>
      <c r="AS87" s="10">
        <f>AF87/32</f>
        <v>0.5</v>
      </c>
      <c r="AT87" s="10">
        <f>AG87/28</f>
        <v>0.2857142857142857</v>
      </c>
      <c r="AU87" s="10">
        <f>AVERAGE(AP87:AT87)*2</f>
        <v>0.71428571428571419</v>
      </c>
    </row>
    <row r="88" spans="1:55" x14ac:dyDescent="0.3">
      <c r="A88" s="2" t="s">
        <v>602</v>
      </c>
      <c r="B88" s="2" t="s">
        <v>201</v>
      </c>
      <c r="C88" s="2" t="s">
        <v>248</v>
      </c>
      <c r="D88" s="2" t="s">
        <v>248</v>
      </c>
      <c r="E88" s="2" t="s">
        <v>248</v>
      </c>
      <c r="F88" s="2" t="s">
        <v>248</v>
      </c>
      <c r="G88" s="2" t="s">
        <v>656</v>
      </c>
      <c r="H88" s="2" t="s">
        <v>886</v>
      </c>
      <c r="I88" s="2" t="s">
        <v>249</v>
      </c>
      <c r="J88" s="2">
        <v>2</v>
      </c>
      <c r="N88" s="4" t="s">
        <v>662</v>
      </c>
      <c r="P88" s="4" t="s">
        <v>662</v>
      </c>
      <c r="T88" s="2" t="s">
        <v>724</v>
      </c>
      <c r="U88" s="2" t="s">
        <v>725</v>
      </c>
      <c r="V88" s="5" t="s">
        <v>662</v>
      </c>
      <c r="W88" s="5" t="s">
        <v>662</v>
      </c>
      <c r="Y88" s="5" t="s">
        <v>662</v>
      </c>
      <c r="Z88" s="5" t="s">
        <v>662</v>
      </c>
      <c r="AB88" s="6" t="s">
        <v>662</v>
      </c>
      <c r="AC88" s="6" t="s">
        <v>662</v>
      </c>
      <c r="AE88" s="2" t="s">
        <v>708</v>
      </c>
      <c r="AF88" s="2">
        <v>12</v>
      </c>
      <c r="AG88" s="2">
        <v>4</v>
      </c>
      <c r="AH88" s="8">
        <v>0.73906201643679037</v>
      </c>
      <c r="AI88" s="8">
        <v>1</v>
      </c>
      <c r="AJ88" s="8">
        <v>0.47914735114286389</v>
      </c>
      <c r="AK88" s="8">
        <f>AVERAGE(AH88:AJ88)</f>
        <v>0.73940312252655138</v>
      </c>
      <c r="AP88" s="10">
        <v>1</v>
      </c>
      <c r="AQ88" s="10">
        <v>0</v>
      </c>
      <c r="AR88" s="10">
        <v>0.25</v>
      </c>
      <c r="AS88" s="10">
        <f>AF88/32</f>
        <v>0.375</v>
      </c>
      <c r="AT88" s="10">
        <f>AG88/28</f>
        <v>0.14285714285714285</v>
      </c>
      <c r="AU88" s="10">
        <f>AVERAGE(AP88:AT88)*2</f>
        <v>0.70714285714285707</v>
      </c>
    </row>
    <row r="89" spans="1:55" x14ac:dyDescent="0.3">
      <c r="A89" s="2" t="s">
        <v>577</v>
      </c>
      <c r="B89" s="2" t="s">
        <v>201</v>
      </c>
      <c r="C89" s="2" t="s">
        <v>215</v>
      </c>
      <c r="D89" s="2" t="s">
        <v>229</v>
      </c>
      <c r="E89" s="2" t="s">
        <v>229</v>
      </c>
      <c r="F89" s="2" t="s">
        <v>229</v>
      </c>
      <c r="G89" s="2" t="s">
        <v>651</v>
      </c>
      <c r="H89" s="2" t="s">
        <v>886</v>
      </c>
      <c r="I89" s="2" t="s">
        <v>249</v>
      </c>
      <c r="J89" s="2">
        <v>2</v>
      </c>
      <c r="K89" s="9">
        <v>0.6426725043152377</v>
      </c>
      <c r="L89" s="9">
        <v>1</v>
      </c>
      <c r="M89" s="9">
        <v>0.20850548723851978</v>
      </c>
      <c r="N89" s="4">
        <v>1000</v>
      </c>
      <c r="O89" s="6">
        <f>N89/459789</f>
        <v>2.1749106655444129E-3</v>
      </c>
      <c r="P89" s="4">
        <v>1141</v>
      </c>
      <c r="Q89" s="6">
        <f>P89/414958</f>
        <v>2.7496758708110219E-3</v>
      </c>
      <c r="R89" s="4">
        <v>1280</v>
      </c>
      <c r="S89" s="6">
        <f>R89/414958</f>
        <v>3.0846495307958878E-3</v>
      </c>
      <c r="T89" s="2" t="s">
        <v>723</v>
      </c>
      <c r="U89" s="2" t="s">
        <v>722</v>
      </c>
      <c r="V89" s="5" t="s">
        <v>662</v>
      </c>
      <c r="W89" s="5" t="s">
        <v>662</v>
      </c>
      <c r="Y89" s="5" t="s">
        <v>662</v>
      </c>
      <c r="Z89" s="5" t="s">
        <v>662</v>
      </c>
      <c r="AB89" s="6" t="s">
        <v>662</v>
      </c>
      <c r="AC89" s="6" t="s">
        <v>662</v>
      </c>
      <c r="AE89" s="2">
        <v>2008</v>
      </c>
      <c r="AF89" s="2">
        <v>4</v>
      </c>
      <c r="AG89" s="2">
        <v>4</v>
      </c>
      <c r="AH89" s="8">
        <f>K89</f>
        <v>0.6426725043152377</v>
      </c>
      <c r="AI89" s="8">
        <f>L89</f>
        <v>1</v>
      </c>
      <c r="AJ89" s="8">
        <f>M89</f>
        <v>0.20850548723851978</v>
      </c>
      <c r="AK89" s="8">
        <f>AVERAGE(AH89:AJ89)</f>
        <v>0.61705933051791917</v>
      </c>
      <c r="AL89" s="11">
        <f>(O89/12.69)*100</f>
        <v>1.7138775930216021E-2</v>
      </c>
      <c r="AM89" s="11">
        <f>(Q89/9.99)*100</f>
        <v>2.752428299110132E-2</v>
      </c>
      <c r="AN89" s="11">
        <f>(S89/12.69)*100</f>
        <v>2.4307718918801322E-2</v>
      </c>
      <c r="AO89" s="11">
        <f>AVERAGE(AL89:AN89)</f>
        <v>2.2990259280039557E-2</v>
      </c>
      <c r="AP89" s="10">
        <v>0.25</v>
      </c>
      <c r="AQ89" s="10">
        <v>1</v>
      </c>
      <c r="AR89" s="10">
        <v>0.25</v>
      </c>
      <c r="AS89" s="10">
        <f>AF89/32</f>
        <v>0.125</v>
      </c>
      <c r="AT89" s="10">
        <f>AG89/28</f>
        <v>0.14285714285714285</v>
      </c>
      <c r="AU89" s="10">
        <f>AVERAGE(AP89:AT89)*2</f>
        <v>0.70714285714285707</v>
      </c>
    </row>
    <row r="90" spans="1:55" x14ac:dyDescent="0.3">
      <c r="A90" s="2" t="s">
        <v>578</v>
      </c>
      <c r="B90" s="2" t="s">
        <v>201</v>
      </c>
      <c r="C90" s="2" t="s">
        <v>215</v>
      </c>
      <c r="D90" s="2" t="s">
        <v>207</v>
      </c>
      <c r="E90" s="2" t="s">
        <v>230</v>
      </c>
      <c r="F90" s="2" t="s">
        <v>230</v>
      </c>
      <c r="G90" s="2" t="s">
        <v>655</v>
      </c>
      <c r="H90" s="2" t="s">
        <v>888</v>
      </c>
      <c r="I90" s="2" t="s">
        <v>207</v>
      </c>
      <c r="J90" s="2">
        <v>3</v>
      </c>
      <c r="N90" s="4" t="s">
        <v>662</v>
      </c>
      <c r="P90" s="4" t="s">
        <v>662</v>
      </c>
      <c r="T90" s="2" t="s">
        <v>723</v>
      </c>
      <c r="U90" s="2" t="s">
        <v>722</v>
      </c>
      <c r="V90" s="5" t="s">
        <v>662</v>
      </c>
      <c r="W90" s="5" t="s">
        <v>662</v>
      </c>
      <c r="Y90" s="5" t="s">
        <v>662</v>
      </c>
      <c r="Z90" s="5" t="s">
        <v>662</v>
      </c>
      <c r="AB90" s="5" t="s">
        <v>662</v>
      </c>
      <c r="AC90" s="5" t="s">
        <v>662</v>
      </c>
      <c r="AE90" s="2" t="s">
        <v>756</v>
      </c>
      <c r="AF90" s="2">
        <v>4</v>
      </c>
      <c r="AG90" s="2">
        <v>4</v>
      </c>
      <c r="AH90" s="8">
        <v>0.69028253737473311</v>
      </c>
      <c r="AI90" s="8">
        <v>1</v>
      </c>
      <c r="AJ90" s="8">
        <v>0.38772974743065369</v>
      </c>
      <c r="AK90" s="8">
        <f>AVERAGE(AH90:AJ90)</f>
        <v>0.69267076160179553</v>
      </c>
      <c r="AP90" s="10">
        <v>0.25</v>
      </c>
      <c r="AQ90" s="10">
        <v>1</v>
      </c>
      <c r="AR90" s="10">
        <v>0.25</v>
      </c>
      <c r="AS90" s="10">
        <f>AF90/32</f>
        <v>0.125</v>
      </c>
      <c r="AT90" s="10">
        <f>AG90/28</f>
        <v>0.14285714285714285</v>
      </c>
      <c r="AU90" s="10">
        <f>AVERAGE(AP90:AT90)*2</f>
        <v>0.70714285714285707</v>
      </c>
    </row>
    <row r="91" spans="1:55" x14ac:dyDescent="0.3">
      <c r="A91" s="2" t="s">
        <v>332</v>
      </c>
      <c r="B91" s="2" t="s">
        <v>27</v>
      </c>
      <c r="C91" s="2" t="s">
        <v>36</v>
      </c>
      <c r="D91" s="2" t="s">
        <v>36</v>
      </c>
      <c r="E91" s="3" t="s">
        <v>829</v>
      </c>
      <c r="F91" s="3" t="s">
        <v>36</v>
      </c>
      <c r="G91" s="2" t="s">
        <v>653</v>
      </c>
      <c r="H91" s="2" t="s">
        <v>887</v>
      </c>
      <c r="I91" s="2" t="s">
        <v>36</v>
      </c>
      <c r="J91" s="2">
        <v>1</v>
      </c>
      <c r="K91" s="9">
        <v>0.83026192615399974</v>
      </c>
      <c r="L91" s="9">
        <v>1</v>
      </c>
      <c r="M91" s="9">
        <v>0.43875676929602603</v>
      </c>
      <c r="N91" s="4">
        <v>32000</v>
      </c>
      <c r="O91" s="6">
        <f>N91/2610987</f>
        <v>1.2255901695412501E-2</v>
      </c>
      <c r="P91" s="4">
        <v>29135</v>
      </c>
      <c r="Q91" s="6">
        <f>P91/2376456</f>
        <v>1.2259852486223183E-2</v>
      </c>
      <c r="R91" s="4">
        <v>73000</v>
      </c>
      <c r="S91" s="6">
        <f>R91/2643322</f>
        <v>2.7616764056743751E-2</v>
      </c>
      <c r="T91" s="2" t="s">
        <v>721</v>
      </c>
      <c r="U91" s="2" t="s">
        <v>725</v>
      </c>
      <c r="V91" s="5">
        <v>41918646.890000001</v>
      </c>
      <c r="W91" s="5">
        <f>(V91+63325908)/2</f>
        <v>52622277.445</v>
      </c>
      <c r="X91" s="5">
        <v>63325908</v>
      </c>
      <c r="Y91" s="5">
        <f>V91/2610987</f>
        <v>16.054712984017154</v>
      </c>
      <c r="Z91" s="5">
        <f>W91/2610987</f>
        <v>20.154170604832579</v>
      </c>
      <c r="AA91" s="5">
        <f>X91/2610987</f>
        <v>24.253628225648001</v>
      </c>
      <c r="AB91" s="6">
        <v>6.3E-2</v>
      </c>
      <c r="AC91" s="6">
        <v>0.17</v>
      </c>
      <c r="AD91" s="6">
        <v>0.27</v>
      </c>
      <c r="AE91" s="2" t="s">
        <v>744</v>
      </c>
      <c r="AF91" s="2">
        <v>15</v>
      </c>
      <c r="AG91" s="2">
        <v>8</v>
      </c>
      <c r="AH91" s="8">
        <f>K91</f>
        <v>0.83026192615399974</v>
      </c>
      <c r="AI91" s="8">
        <f>L91</f>
        <v>1</v>
      </c>
      <c r="AJ91" s="8">
        <f>M91</f>
        <v>0.43875676929602603</v>
      </c>
      <c r="AK91" s="8">
        <f>AVERAGE(AH91:AJ91)</f>
        <v>0.75633956515000866</v>
      </c>
      <c r="AL91" s="11">
        <f>(O91/12.69)*100</f>
        <v>9.6579209577718692E-2</v>
      </c>
      <c r="AM91" s="11">
        <f>(Q91/9.99)*100</f>
        <v>0.12272124610834016</v>
      </c>
      <c r="AN91" s="11">
        <f>(S91/12.69)*100</f>
        <v>0.21762619430058119</v>
      </c>
      <c r="AO91" s="11">
        <f>AVERAGE(AL91:AN91)</f>
        <v>0.14564221666221336</v>
      </c>
      <c r="AP91" s="10">
        <v>0.75</v>
      </c>
      <c r="AQ91" s="10">
        <v>0</v>
      </c>
      <c r="AR91" s="10">
        <v>0.25</v>
      </c>
      <c r="AS91" s="10">
        <f>AF91/32</f>
        <v>0.46875</v>
      </c>
      <c r="AT91" s="10">
        <f>AG91/28</f>
        <v>0.2857142857142857</v>
      </c>
      <c r="AU91" s="10">
        <f>AVERAGE(AP91:AT91)*2</f>
        <v>0.70178571428571423</v>
      </c>
      <c r="AV91" s="11">
        <f>Y91/776.02</f>
        <v>2.0688529914199574E-2</v>
      </c>
      <c r="AW91" s="11">
        <f>Z91/639.8</f>
        <v>3.1500735549910251E-2</v>
      </c>
      <c r="AX91" s="11">
        <f>AA91/804.19</f>
        <v>3.0159077115666694E-2</v>
      </c>
      <c r="AY91" s="11">
        <f>AB91</f>
        <v>6.3E-2</v>
      </c>
      <c r="AZ91" s="11">
        <f>AC91</f>
        <v>0.17</v>
      </c>
      <c r="BA91" s="11">
        <f>AD91</f>
        <v>0.27</v>
      </c>
      <c r="BB91" s="10">
        <f>AVERAGE(AV91:BA91)*2</f>
        <v>0.19511611419325883</v>
      </c>
      <c r="BC91" s="10">
        <f>AVERAGE(AK91,AO91,AU91,BB91)</f>
        <v>0.44972090257279879</v>
      </c>
    </row>
    <row r="92" spans="1:55" x14ac:dyDescent="0.3">
      <c r="A92" s="2" t="s">
        <v>484</v>
      </c>
      <c r="B92" s="2" t="s">
        <v>167</v>
      </c>
      <c r="C92" s="2" t="s">
        <v>178</v>
      </c>
      <c r="D92" s="2" t="s">
        <v>169</v>
      </c>
      <c r="E92" s="2" t="s">
        <v>169</v>
      </c>
      <c r="F92" s="2" t="s">
        <v>169</v>
      </c>
      <c r="G92" s="2" t="s">
        <v>654</v>
      </c>
      <c r="H92" s="2" t="s">
        <v>888</v>
      </c>
      <c r="I92" s="2" t="s">
        <v>179</v>
      </c>
      <c r="J92" s="2">
        <v>3</v>
      </c>
      <c r="K92" s="9">
        <v>0.24976380407030338</v>
      </c>
      <c r="L92" s="9">
        <v>0.26207176242457481</v>
      </c>
      <c r="M92" s="9">
        <v>0.22619315153456371</v>
      </c>
      <c r="N92" s="4" t="s">
        <v>662</v>
      </c>
      <c r="P92" s="4" t="s">
        <v>662</v>
      </c>
      <c r="T92" s="2" t="s">
        <v>724</v>
      </c>
      <c r="U92" s="2" t="s">
        <v>725</v>
      </c>
      <c r="V92" s="5">
        <v>727380.36</v>
      </c>
      <c r="W92" s="5">
        <v>1498018.41</v>
      </c>
      <c r="X92" s="5">
        <v>2685936.47</v>
      </c>
      <c r="Y92" s="5">
        <f>V92/116794</f>
        <v>6.2278915012757503</v>
      </c>
      <c r="Z92" s="5">
        <f>W92/116794</f>
        <v>12.826158963645392</v>
      </c>
      <c r="AA92" s="5">
        <f>X92/114984</f>
        <v>23.359219282682808</v>
      </c>
      <c r="AB92" s="6">
        <v>8.9999999999999993E-3</v>
      </c>
      <c r="AC92" s="6">
        <v>2.2200000000000001E-2</v>
      </c>
      <c r="AD92" s="6">
        <v>3.3000000000000002E-2</v>
      </c>
      <c r="AE92" s="2" t="s">
        <v>751</v>
      </c>
      <c r="AF92" s="2">
        <v>7</v>
      </c>
      <c r="AG92" s="2">
        <v>7</v>
      </c>
      <c r="AH92" s="8">
        <f>K92</f>
        <v>0.24976380407030338</v>
      </c>
      <c r="AI92" s="8">
        <f>L92</f>
        <v>0.26207176242457481</v>
      </c>
      <c r="AJ92" s="8">
        <f>M92</f>
        <v>0.22619315153456371</v>
      </c>
      <c r="AK92" s="8">
        <f>AVERAGE(AH92:AJ92)</f>
        <v>0.2460095726764806</v>
      </c>
      <c r="AP92" s="10">
        <v>1</v>
      </c>
      <c r="AQ92" s="10">
        <v>0</v>
      </c>
      <c r="AR92" s="10">
        <v>0.25</v>
      </c>
      <c r="AS92" s="10">
        <f>AF92/32</f>
        <v>0.21875</v>
      </c>
      <c r="AT92" s="10">
        <f>AG92/28</f>
        <v>0.25</v>
      </c>
      <c r="AU92" s="10">
        <f>AVERAGE(AP92:AT92)*2</f>
        <v>0.6875</v>
      </c>
      <c r="AV92" s="11">
        <f>Y92/776.02</f>
        <v>8.0254265370425376E-3</v>
      </c>
      <c r="AW92" s="11">
        <f>Z92/639.8</f>
        <v>2.0047138111355726E-2</v>
      </c>
      <c r="AX92" s="11">
        <f>AA92/804.19</f>
        <v>2.9046891011679836E-2</v>
      </c>
      <c r="AY92" s="11">
        <f>AB92</f>
        <v>8.9999999999999993E-3</v>
      </c>
      <c r="AZ92" s="11">
        <f>AC92</f>
        <v>2.2200000000000001E-2</v>
      </c>
      <c r="BA92" s="11">
        <f>AD92</f>
        <v>3.3000000000000002E-2</v>
      </c>
      <c r="BB92" s="10">
        <f>AVERAGE(AV92:BA92)*2</f>
        <v>4.0439818553359368E-2</v>
      </c>
    </row>
    <row r="93" spans="1:55" x14ac:dyDescent="0.3">
      <c r="A93" s="2" t="s">
        <v>592</v>
      </c>
      <c r="B93" s="2" t="s">
        <v>201</v>
      </c>
      <c r="C93" s="2" t="s">
        <v>241</v>
      </c>
      <c r="D93" s="2" t="s">
        <v>241</v>
      </c>
      <c r="E93" s="2" t="s">
        <v>241</v>
      </c>
      <c r="F93" s="2" t="s">
        <v>241</v>
      </c>
      <c r="G93" s="2" t="s">
        <v>652</v>
      </c>
      <c r="H93" s="2" t="s">
        <v>886</v>
      </c>
      <c r="I93" s="2" t="s">
        <v>249</v>
      </c>
      <c r="J93" s="2">
        <v>2</v>
      </c>
      <c r="K93" s="9">
        <v>0.5272933161518647</v>
      </c>
      <c r="L93" s="9">
        <v>1</v>
      </c>
      <c r="M93" s="9">
        <v>0.21235119869421357</v>
      </c>
      <c r="N93" s="4">
        <v>3732</v>
      </c>
      <c r="O93" s="6">
        <f>N93/604682</f>
        <v>6.1718390823606454E-3</v>
      </c>
      <c r="P93" s="4">
        <v>3732</v>
      </c>
      <c r="Q93" s="6">
        <f>O93</f>
        <v>6.1718390823606454E-3</v>
      </c>
      <c r="R93" s="4">
        <v>3732</v>
      </c>
      <c r="S93" s="6">
        <v>6.1718390823606454E-3</v>
      </c>
      <c r="T93" s="2" t="s">
        <v>724</v>
      </c>
      <c r="U93" s="2" t="s">
        <v>725</v>
      </c>
      <c r="V93" s="5">
        <v>3788290</v>
      </c>
      <c r="W93" s="5">
        <v>44042428</v>
      </c>
      <c r="X93" s="5">
        <v>135883494</v>
      </c>
      <c r="Y93" s="5">
        <f>V93/604682</f>
        <v>6.2649293347577739</v>
      </c>
      <c r="Z93" s="5">
        <f>W93/520682</f>
        <v>84.586039079514947</v>
      </c>
      <c r="AA93" s="5">
        <f>X93/470803</f>
        <v>288.62070547553861</v>
      </c>
      <c r="AB93" s="6">
        <v>7.1999999999999998E-3</v>
      </c>
      <c r="AC93" s="6">
        <v>0.3236</v>
      </c>
      <c r="AD93" s="6">
        <v>1</v>
      </c>
      <c r="AE93" s="2" t="s">
        <v>758</v>
      </c>
      <c r="AF93" s="2">
        <v>9</v>
      </c>
      <c r="AG93" s="2">
        <v>5</v>
      </c>
      <c r="AH93" s="8">
        <f>K93</f>
        <v>0.5272933161518647</v>
      </c>
      <c r="AI93" s="8">
        <f>L93</f>
        <v>1</v>
      </c>
      <c r="AJ93" s="8">
        <f>M93</f>
        <v>0.21235119869421357</v>
      </c>
      <c r="AK93" s="8">
        <f>AVERAGE(AH93:AJ93)</f>
        <v>0.57988150494869273</v>
      </c>
      <c r="AL93" s="11">
        <f>(O93/12.69)*100</f>
        <v>4.8635453761707213E-2</v>
      </c>
      <c r="AM93" s="11">
        <f>(Q93/9.99)*100</f>
        <v>6.1780170994601057E-2</v>
      </c>
      <c r="AN93" s="11">
        <f>(S93/12.69)*100</f>
        <v>4.8635453761707213E-2</v>
      </c>
      <c r="AO93" s="11">
        <f>AVERAGE(AL93:AN93)</f>
        <v>5.3017026172671823E-2</v>
      </c>
      <c r="AP93" s="10">
        <v>1</v>
      </c>
      <c r="AQ93" s="10">
        <v>0</v>
      </c>
      <c r="AR93" s="10">
        <v>0.25</v>
      </c>
      <c r="AS93" s="10">
        <f>AF93/32</f>
        <v>0.28125</v>
      </c>
      <c r="AT93" s="10">
        <f>AG93/28</f>
        <v>0.17857142857142858</v>
      </c>
      <c r="AU93" s="10">
        <f>AVERAGE(AP93:AT93)*2</f>
        <v>0.68392857142857144</v>
      </c>
      <c r="AV93" s="11">
        <f>Y93/776.02</f>
        <v>8.073154473799353E-3</v>
      </c>
      <c r="AW93" s="11">
        <f>Z93/639.8</f>
        <v>0.13220700074947633</v>
      </c>
      <c r="AX93" s="11">
        <f>AA93/804.19</f>
        <v>0.35889616318971712</v>
      </c>
      <c r="AY93" s="11">
        <f>AB93</f>
        <v>7.1999999999999998E-3</v>
      </c>
      <c r="AZ93" s="11">
        <f>AC93</f>
        <v>0.3236</v>
      </c>
      <c r="BA93" s="11">
        <f>AD93</f>
        <v>1</v>
      </c>
      <c r="BB93" s="10">
        <f>AVERAGE(AV93:BA93)*2</f>
        <v>0.60999210613766419</v>
      </c>
      <c r="BC93" s="10">
        <f>AVERAGE(AK93,AO93,AU93,BB93)</f>
        <v>0.48170480217190004</v>
      </c>
    </row>
    <row r="94" spans="1:55" x14ac:dyDescent="0.3">
      <c r="A94" s="2" t="s">
        <v>428</v>
      </c>
      <c r="B94" s="2" t="s">
        <v>117</v>
      </c>
      <c r="C94" s="2" t="s">
        <v>124</v>
      </c>
      <c r="D94" s="2" t="s">
        <v>124</v>
      </c>
      <c r="E94" s="2" t="s">
        <v>119</v>
      </c>
      <c r="F94" s="2" t="s">
        <v>124</v>
      </c>
      <c r="G94" s="2" t="s">
        <v>653</v>
      </c>
      <c r="H94" s="2" t="s">
        <v>884</v>
      </c>
      <c r="I94" s="2" t="s">
        <v>124</v>
      </c>
      <c r="J94" s="2">
        <v>1</v>
      </c>
      <c r="N94" s="4" t="s">
        <v>662</v>
      </c>
      <c r="P94" s="4" t="s">
        <v>662</v>
      </c>
      <c r="T94" s="2" t="s">
        <v>724</v>
      </c>
      <c r="U94" s="2" t="s">
        <v>725</v>
      </c>
      <c r="V94" s="5" t="s">
        <v>662</v>
      </c>
      <c r="W94" s="5" t="s">
        <v>662</v>
      </c>
      <c r="Y94" s="5" t="s">
        <v>662</v>
      </c>
      <c r="Z94" s="5" t="s">
        <v>662</v>
      </c>
      <c r="AB94" s="5" t="s">
        <v>662</v>
      </c>
      <c r="AC94" s="5" t="s">
        <v>662</v>
      </c>
      <c r="AE94" s="2" t="s">
        <v>711</v>
      </c>
      <c r="AF94" s="2">
        <v>12</v>
      </c>
      <c r="AG94" s="2">
        <v>8</v>
      </c>
      <c r="AH94" s="8">
        <v>0.4037</v>
      </c>
      <c r="AI94" s="8">
        <v>0.18429999999999999</v>
      </c>
      <c r="AJ94" s="8">
        <v>0.31309999999999999</v>
      </c>
      <c r="AK94" s="8">
        <f>AVERAGE(AH94:AJ94)</f>
        <v>0.30036666666666667</v>
      </c>
      <c r="AP94" s="10">
        <v>1</v>
      </c>
      <c r="AQ94" s="10">
        <v>0</v>
      </c>
      <c r="AR94" s="10">
        <v>0</v>
      </c>
      <c r="AS94" s="10">
        <f>AF94/32</f>
        <v>0.375</v>
      </c>
      <c r="AT94" s="10">
        <f>AG94/28</f>
        <v>0.2857142857142857</v>
      </c>
      <c r="AU94" s="10">
        <f>AVERAGE(AP94:AT94)*2</f>
        <v>0.66428571428571426</v>
      </c>
    </row>
    <row r="95" spans="1:55" x14ac:dyDescent="0.3">
      <c r="A95" s="2" t="s">
        <v>613</v>
      </c>
      <c r="B95" s="2" t="s">
        <v>201</v>
      </c>
      <c r="C95" s="2" t="s">
        <v>215</v>
      </c>
      <c r="D95" s="2" t="s">
        <v>215</v>
      </c>
      <c r="E95" s="2" t="s">
        <v>256</v>
      </c>
      <c r="F95" s="2" t="s">
        <v>215</v>
      </c>
      <c r="G95" s="2" t="s">
        <v>653</v>
      </c>
      <c r="H95" s="2" t="s">
        <v>884</v>
      </c>
      <c r="I95" s="2" t="s">
        <v>215</v>
      </c>
      <c r="J95" s="2">
        <v>2</v>
      </c>
      <c r="N95" s="4" t="s">
        <v>662</v>
      </c>
      <c r="P95" s="4" t="s">
        <v>662</v>
      </c>
      <c r="T95" s="2" t="s">
        <v>724</v>
      </c>
      <c r="U95" s="2" t="s">
        <v>725</v>
      </c>
      <c r="V95" s="5" t="s">
        <v>662</v>
      </c>
      <c r="W95" s="5" t="s">
        <v>662</v>
      </c>
      <c r="Y95" s="5" t="s">
        <v>662</v>
      </c>
      <c r="Z95" s="5" t="s">
        <v>662</v>
      </c>
      <c r="AB95" s="5" t="s">
        <v>662</v>
      </c>
      <c r="AC95" s="5" t="s">
        <v>662</v>
      </c>
      <c r="AE95" s="2" t="s">
        <v>678</v>
      </c>
      <c r="AF95" s="2">
        <v>6</v>
      </c>
      <c r="AG95" s="2">
        <v>6</v>
      </c>
      <c r="AH95" s="8">
        <v>0.58736782869444248</v>
      </c>
      <c r="AI95" s="8">
        <v>1</v>
      </c>
      <c r="AJ95" s="8">
        <v>0.3904923793071981</v>
      </c>
      <c r="AK95" s="8">
        <f>AVERAGE(AH95:AJ95)</f>
        <v>0.65928673600054688</v>
      </c>
      <c r="AP95" s="10">
        <v>1</v>
      </c>
      <c r="AQ95" s="10">
        <v>0</v>
      </c>
      <c r="AR95" s="10">
        <v>0.25</v>
      </c>
      <c r="AS95" s="10">
        <f>AF95/32</f>
        <v>0.1875</v>
      </c>
      <c r="AT95" s="10">
        <f>AG95/28</f>
        <v>0.21428571428571427</v>
      </c>
      <c r="AU95" s="10">
        <f>AVERAGE(AP95:AT95)*2</f>
        <v>0.6607142857142857</v>
      </c>
    </row>
    <row r="96" spans="1:55" x14ac:dyDescent="0.3">
      <c r="A96" s="2" t="s">
        <v>455</v>
      </c>
      <c r="B96" s="2" t="s">
        <v>131</v>
      </c>
      <c r="C96" s="2" t="s">
        <v>135</v>
      </c>
      <c r="D96" s="2" t="s">
        <v>261</v>
      </c>
      <c r="E96" s="2" t="s">
        <v>798</v>
      </c>
      <c r="F96" s="2" t="s">
        <v>261</v>
      </c>
      <c r="G96" s="2" t="s">
        <v>654</v>
      </c>
      <c r="H96" s="2" t="s">
        <v>888</v>
      </c>
      <c r="I96" s="2" t="s">
        <v>135</v>
      </c>
      <c r="J96" s="2">
        <v>3</v>
      </c>
      <c r="K96" s="9">
        <v>0.67655152496777882</v>
      </c>
      <c r="L96" s="9">
        <v>1</v>
      </c>
      <c r="M96" s="9">
        <v>0.53437613047284371</v>
      </c>
      <c r="N96" s="4">
        <v>8340</v>
      </c>
      <c r="O96" s="6">
        <f>N96/119913</f>
        <v>6.9550424057441648E-2</v>
      </c>
      <c r="P96" s="4">
        <v>8796</v>
      </c>
      <c r="Q96" s="6">
        <f>P96/119913</f>
        <v>7.3353181056265787E-2</v>
      </c>
      <c r="R96" s="4">
        <v>13284</v>
      </c>
      <c r="S96" s="6">
        <f>R96/119313</f>
        <v>0.11133740665308893</v>
      </c>
      <c r="T96" s="2" t="s">
        <v>724</v>
      </c>
      <c r="U96" s="2" t="s">
        <v>725</v>
      </c>
      <c r="V96" s="5">
        <v>8162186.0700000003</v>
      </c>
      <c r="W96" s="5">
        <v>6938575.29</v>
      </c>
      <c r="X96" s="5">
        <v>8411913</v>
      </c>
      <c r="Y96" s="5">
        <f>V96/119313</f>
        <v>68.409863719795837</v>
      </c>
      <c r="Z96" s="5">
        <f>W96/119313</f>
        <v>58.154394659425208</v>
      </c>
      <c r="AA96" s="5">
        <f>X96/109313</f>
        <v>76.952539954076826</v>
      </c>
      <c r="AB96" s="6">
        <v>7.3999999999999996E-2</v>
      </c>
      <c r="AC96" s="6">
        <v>6.1600000000000002E-2</v>
      </c>
      <c r="AD96" s="6">
        <v>7.3999999999999996E-2</v>
      </c>
      <c r="AE96" s="2" t="s">
        <v>764</v>
      </c>
      <c r="AF96" s="2">
        <v>6</v>
      </c>
      <c r="AG96" s="2">
        <v>6</v>
      </c>
      <c r="AH96" s="8">
        <f>K96</f>
        <v>0.67655152496777882</v>
      </c>
      <c r="AI96" s="8">
        <f>L96</f>
        <v>1</v>
      </c>
      <c r="AJ96" s="8">
        <f>M96</f>
        <v>0.53437613047284371</v>
      </c>
      <c r="AK96" s="8">
        <f>AVERAGE(AH96:AJ96)</f>
        <v>0.73697588514687418</v>
      </c>
      <c r="AL96" s="11">
        <f>(O96/12.69)*100</f>
        <v>0.54807268760789329</v>
      </c>
      <c r="AM96" s="11">
        <f>(Q96/9.99)*100</f>
        <v>0.73426607663929722</v>
      </c>
      <c r="AN96" s="11">
        <f>(S96/12.69)*100</f>
        <v>0.87736333059959759</v>
      </c>
      <c r="AO96" s="11">
        <f>AVERAGE(AL96:AN96)</f>
        <v>0.71990069828226277</v>
      </c>
      <c r="AP96" s="10">
        <v>1</v>
      </c>
      <c r="AQ96" s="10">
        <v>0</v>
      </c>
      <c r="AR96" s="10">
        <v>0.25</v>
      </c>
      <c r="AS96" s="10">
        <f>AF96/32</f>
        <v>0.1875</v>
      </c>
      <c r="AT96" s="10">
        <f>AG96/28</f>
        <v>0.21428571428571427</v>
      </c>
      <c r="AU96" s="10">
        <f>AVERAGE(AP96:AT96)*2</f>
        <v>0.6607142857142857</v>
      </c>
      <c r="AV96" s="11">
        <f>Y96/776.02</f>
        <v>8.8154768845900677E-2</v>
      </c>
      <c r="AW96" s="11">
        <f>Z96/639.8</f>
        <v>9.0894646232299481E-2</v>
      </c>
      <c r="AX96" s="11">
        <f>AA96/804.19</f>
        <v>9.5689501180164907E-2</v>
      </c>
      <c r="AY96" s="11">
        <f>AB96</f>
        <v>7.3999999999999996E-2</v>
      </c>
      <c r="AZ96" s="11">
        <f>AC96</f>
        <v>6.1600000000000002E-2</v>
      </c>
      <c r="BA96" s="11">
        <f>AD96</f>
        <v>7.3999999999999996E-2</v>
      </c>
      <c r="BB96" s="10">
        <f>AVERAGE(AV96:BA96)*2</f>
        <v>0.16144630541945501</v>
      </c>
      <c r="BC96" s="10">
        <f>AVERAGE(AK96,AO96,AU96,BB96)</f>
        <v>0.56975929364071931</v>
      </c>
    </row>
    <row r="97" spans="1:55" x14ac:dyDescent="0.3">
      <c r="A97" s="2" t="s">
        <v>394</v>
      </c>
      <c r="B97" s="2" t="s">
        <v>70</v>
      </c>
      <c r="C97" s="2" t="s">
        <v>89</v>
      </c>
      <c r="D97" s="2" t="s">
        <v>89</v>
      </c>
      <c r="E97" s="3" t="s">
        <v>816</v>
      </c>
      <c r="F97" s="3" t="s">
        <v>662</v>
      </c>
      <c r="G97" s="2" t="s">
        <v>656</v>
      </c>
      <c r="H97" s="2" t="s">
        <v>886</v>
      </c>
      <c r="I97" s="2" t="s">
        <v>74</v>
      </c>
      <c r="J97" s="2">
        <v>2</v>
      </c>
      <c r="K97" s="9">
        <v>0.71386340259956138</v>
      </c>
      <c r="L97" s="9">
        <v>0.93235800228918575</v>
      </c>
      <c r="M97" s="9">
        <v>0.45436822687531259</v>
      </c>
      <c r="N97" s="4">
        <v>6739</v>
      </c>
      <c r="O97" s="6">
        <f>N97/334431</f>
        <v>2.0150643929540024E-2</v>
      </c>
      <c r="P97" s="4">
        <v>5676</v>
      </c>
      <c r="Q97" s="6">
        <f>P97/334431</f>
        <v>1.6972110839007151E-2</v>
      </c>
      <c r="R97" s="4">
        <v>6739</v>
      </c>
      <c r="S97" s="6">
        <v>2.0150643929540024E-2</v>
      </c>
      <c r="T97" s="4" t="s">
        <v>724</v>
      </c>
      <c r="U97" s="4" t="s">
        <v>725</v>
      </c>
      <c r="V97" s="5">
        <v>119984187</v>
      </c>
      <c r="W97" s="5">
        <f>V97</f>
        <v>119984187</v>
      </c>
      <c r="X97" s="5">
        <f>W97</f>
        <v>119984187</v>
      </c>
      <c r="Y97" s="5">
        <f>V97/361915</f>
        <v>331.52587486011907</v>
      </c>
      <c r="Z97" s="5">
        <f>Y97</f>
        <v>331.52587486011907</v>
      </c>
      <c r="AA97" s="5">
        <f>Z97</f>
        <v>331.52587486011907</v>
      </c>
      <c r="AB97" s="6">
        <v>0.25540000000000002</v>
      </c>
      <c r="AC97" s="6">
        <v>0.25540000000000002</v>
      </c>
      <c r="AD97" s="6">
        <v>0.25540000000000002</v>
      </c>
      <c r="AE97" s="2" t="s">
        <v>685</v>
      </c>
      <c r="AF97" s="2">
        <v>8</v>
      </c>
      <c r="AG97" s="2">
        <v>4</v>
      </c>
      <c r="AH97" s="8">
        <f>K97</f>
        <v>0.71386340259956138</v>
      </c>
      <c r="AI97" s="8">
        <f>L97</f>
        <v>0.93235800228918575</v>
      </c>
      <c r="AJ97" s="8">
        <f>M97</f>
        <v>0.45436822687531259</v>
      </c>
      <c r="AK97" s="8">
        <f>AVERAGE(AH97:AJ97)</f>
        <v>0.70019654392135322</v>
      </c>
      <c r="AL97" s="11">
        <f>(O97/12.69)*100</f>
        <v>0.15879152032734456</v>
      </c>
      <c r="AM97" s="11">
        <f>(Q97/9.99)*100</f>
        <v>0.16989099938946095</v>
      </c>
      <c r="AN97" s="11">
        <f>(S97/12.69)*100</f>
        <v>0.15879152032734456</v>
      </c>
      <c r="AO97" s="11">
        <f>AVERAGE(AL97:AN97)</f>
        <v>0.16249134668138335</v>
      </c>
      <c r="AP97" s="10">
        <v>1</v>
      </c>
      <c r="AQ97" s="10">
        <v>0</v>
      </c>
      <c r="AR97" s="10">
        <v>0.25</v>
      </c>
      <c r="AS97" s="10">
        <f>AF97/32</f>
        <v>0.25</v>
      </c>
      <c r="AT97" s="10">
        <f>AG97/28</f>
        <v>0.14285714285714285</v>
      </c>
      <c r="AU97" s="10">
        <f>AVERAGE(AP97:AT97)*2</f>
        <v>0.65714285714285714</v>
      </c>
      <c r="AV97" s="11">
        <f>Y97/776.02</f>
        <v>0.42721305489564582</v>
      </c>
      <c r="AW97" s="11">
        <f>Z97/639.8</f>
        <v>0.51817110794016741</v>
      </c>
      <c r="AX97" s="11">
        <f>AA97/804.19</f>
        <v>0.41224819366085014</v>
      </c>
      <c r="AY97" s="11">
        <f>AB97</f>
        <v>0.25540000000000002</v>
      </c>
      <c r="AZ97" s="11">
        <f>AC97</f>
        <v>0.25540000000000002</v>
      </c>
      <c r="BA97" s="11">
        <f>AD97</f>
        <v>0.25540000000000002</v>
      </c>
      <c r="BB97" s="10">
        <f>AVERAGE(AV97:BA97)*2</f>
        <v>0.70794411883222119</v>
      </c>
      <c r="BC97" s="10">
        <f>AVERAGE(AK97,AO97,AU97,BB97)</f>
        <v>0.55694371664445375</v>
      </c>
    </row>
    <row r="98" spans="1:55" x14ac:dyDescent="0.3">
      <c r="A98" s="2" t="s">
        <v>351</v>
      </c>
      <c r="B98" s="2" t="s">
        <v>52</v>
      </c>
      <c r="C98" s="2" t="s">
        <v>56</v>
      </c>
      <c r="D98" s="2" t="s">
        <v>55</v>
      </c>
      <c r="E98" s="3" t="s">
        <v>55</v>
      </c>
      <c r="F98" s="3" t="s">
        <v>662</v>
      </c>
      <c r="G98" s="2" t="s">
        <v>654</v>
      </c>
      <c r="H98" s="2" t="s">
        <v>888</v>
      </c>
      <c r="I98" s="2" t="s">
        <v>57</v>
      </c>
      <c r="J98" s="2">
        <v>3</v>
      </c>
      <c r="N98" s="4" t="s">
        <v>662</v>
      </c>
      <c r="P98" s="4" t="s">
        <v>662</v>
      </c>
      <c r="T98" s="4" t="s">
        <v>723</v>
      </c>
      <c r="U98" s="2" t="s">
        <v>725</v>
      </c>
      <c r="V98" s="5" t="s">
        <v>662</v>
      </c>
      <c r="W98" s="5" t="s">
        <v>662</v>
      </c>
      <c r="Y98" s="5" t="s">
        <v>662</v>
      </c>
      <c r="Z98" s="5" t="s">
        <v>662</v>
      </c>
      <c r="AB98" s="5" t="s">
        <v>662</v>
      </c>
      <c r="AC98" s="5" t="s">
        <v>662</v>
      </c>
      <c r="AE98" s="2" t="s">
        <v>777</v>
      </c>
      <c r="AF98" s="2">
        <v>8</v>
      </c>
      <c r="AG98" s="2">
        <v>4</v>
      </c>
      <c r="AH98" s="8">
        <v>0.76774589305789542</v>
      </c>
      <c r="AI98" s="8">
        <v>0.98830682403902914</v>
      </c>
      <c r="AJ98" s="8">
        <v>0.41278749857891062</v>
      </c>
      <c r="AK98" s="8">
        <f>AVERAGE(AH98:AJ98)</f>
        <v>0.72294673855861158</v>
      </c>
      <c r="AP98" s="10">
        <v>0.25</v>
      </c>
      <c r="AQ98" s="10">
        <v>0</v>
      </c>
      <c r="AR98" s="10">
        <v>1</v>
      </c>
      <c r="AS98" s="10">
        <f>AF98/32</f>
        <v>0.25</v>
      </c>
      <c r="AT98" s="10">
        <f>AG98/28</f>
        <v>0.14285714285714285</v>
      </c>
      <c r="AU98" s="10">
        <f>AVERAGE(AP98:AT98)*2</f>
        <v>0.65714285714285714</v>
      </c>
    </row>
    <row r="99" spans="1:55" x14ac:dyDescent="0.3">
      <c r="A99" s="2" t="s">
        <v>564</v>
      </c>
      <c r="B99" s="2" t="s">
        <v>201</v>
      </c>
      <c r="C99" s="2" t="s">
        <v>249</v>
      </c>
      <c r="D99" s="2" t="s">
        <v>249</v>
      </c>
      <c r="E99" s="2" t="s">
        <v>834</v>
      </c>
      <c r="F99" s="2" t="s">
        <v>249</v>
      </c>
      <c r="G99" s="2" t="s">
        <v>657</v>
      </c>
      <c r="H99" s="2" t="s">
        <v>884</v>
      </c>
      <c r="I99" s="2" t="s">
        <v>249</v>
      </c>
      <c r="J99" s="2">
        <v>1</v>
      </c>
      <c r="N99" s="4" t="s">
        <v>662</v>
      </c>
      <c r="P99" s="4" t="s">
        <v>662</v>
      </c>
      <c r="T99" s="2" t="s">
        <v>723</v>
      </c>
      <c r="U99" s="2" t="s">
        <v>722</v>
      </c>
      <c r="V99" s="5" t="s">
        <v>662</v>
      </c>
      <c r="W99" s="5" t="s">
        <v>662</v>
      </c>
      <c r="Y99" s="5" t="s">
        <v>662</v>
      </c>
      <c r="Z99" s="5" t="s">
        <v>662</v>
      </c>
      <c r="AB99" s="5" t="s">
        <v>662</v>
      </c>
      <c r="AC99" s="5" t="s">
        <v>662</v>
      </c>
      <c r="AE99" s="1" t="s">
        <v>755</v>
      </c>
      <c r="AF99" s="2">
        <v>2</v>
      </c>
      <c r="AG99" s="2">
        <v>1</v>
      </c>
      <c r="AH99" s="8">
        <v>0.5038327410806428</v>
      </c>
      <c r="AI99" s="8">
        <v>0.73144943878313184</v>
      </c>
      <c r="AJ99" s="8">
        <v>0.38916357175991056</v>
      </c>
      <c r="AK99" s="8">
        <f>AVERAGE(AH99:AJ99)</f>
        <v>0.54148191720789507</v>
      </c>
      <c r="AP99" s="10">
        <v>0.25</v>
      </c>
      <c r="AQ99" s="10">
        <v>1</v>
      </c>
      <c r="AR99" s="10">
        <v>0.25</v>
      </c>
      <c r="AS99" s="10">
        <f>AF99/32</f>
        <v>6.25E-2</v>
      </c>
      <c r="AT99" s="10">
        <f>AG99/28</f>
        <v>3.5714285714285712E-2</v>
      </c>
      <c r="AU99" s="10">
        <f>AVERAGE(AP99:AT99)*2</f>
        <v>0.63928571428571435</v>
      </c>
    </row>
    <row r="100" spans="1:55" x14ac:dyDescent="0.3">
      <c r="A100" s="2" t="s">
        <v>465</v>
      </c>
      <c r="B100" s="2" t="s">
        <v>146</v>
      </c>
      <c r="C100" s="2" t="s">
        <v>155</v>
      </c>
      <c r="D100" s="2" t="s">
        <v>155</v>
      </c>
      <c r="E100" s="2" t="s">
        <v>821</v>
      </c>
      <c r="F100" s="2" t="s">
        <v>155</v>
      </c>
      <c r="G100" s="2" t="s">
        <v>658</v>
      </c>
      <c r="H100" s="2" t="s">
        <v>884</v>
      </c>
      <c r="I100" s="2" t="s">
        <v>155</v>
      </c>
      <c r="J100" s="2">
        <v>1</v>
      </c>
      <c r="K100" s="9">
        <v>0.50423888208325218</v>
      </c>
      <c r="L100" s="9">
        <v>0.57068193266475309</v>
      </c>
      <c r="M100" s="9">
        <v>0.25736275997782238</v>
      </c>
      <c r="N100" s="4">
        <v>300</v>
      </c>
      <c r="O100" s="6">
        <f>N100/218008</f>
        <v>1.376096290044402E-3</v>
      </c>
      <c r="P100" s="4">
        <v>300</v>
      </c>
      <c r="Q100" s="6">
        <f>O100</f>
        <v>1.376096290044402E-3</v>
      </c>
      <c r="R100" s="4">
        <v>300</v>
      </c>
      <c r="S100" s="6">
        <v>1.376096290044402E-3</v>
      </c>
      <c r="T100" s="2" t="s">
        <v>724</v>
      </c>
      <c r="U100" s="2" t="s">
        <v>725</v>
      </c>
      <c r="V100" s="5">
        <v>12435834.1</v>
      </c>
      <c r="W100" s="5">
        <v>9221645</v>
      </c>
      <c r="X100" s="5">
        <v>12435834.1</v>
      </c>
      <c r="Y100" s="5">
        <f>V100/218008</f>
        <v>57.043017228725553</v>
      </c>
      <c r="Z100" s="5">
        <f>W100/218008</f>
        <v>42.299571575355031</v>
      </c>
      <c r="AA100" s="5">
        <f>X100/218008</f>
        <v>57.043017228725553</v>
      </c>
      <c r="AB100" s="6">
        <v>0.13039999999999999</v>
      </c>
      <c r="AC100" s="6">
        <v>0.13039999999999999</v>
      </c>
      <c r="AD100" s="6">
        <v>0.13039999999999999</v>
      </c>
      <c r="AE100" s="2" t="s">
        <v>736</v>
      </c>
      <c r="AF100" s="2">
        <v>6</v>
      </c>
      <c r="AG100" s="2">
        <v>4</v>
      </c>
      <c r="AH100" s="8">
        <f>K100</f>
        <v>0.50423888208325218</v>
      </c>
      <c r="AI100" s="8">
        <f>L100</f>
        <v>0.57068193266475309</v>
      </c>
      <c r="AJ100" s="8">
        <f>M100</f>
        <v>0.25736275997782238</v>
      </c>
      <c r="AK100" s="8">
        <f>AVERAGE(AH100:AJ100)</f>
        <v>0.44409452490860918</v>
      </c>
      <c r="AL100" s="11">
        <f>(O100/12.69)*100</f>
        <v>1.0843942395936973E-2</v>
      </c>
      <c r="AM100" s="11">
        <f>(Q100/9.99)*100</f>
        <v>1.3774737638082101E-2</v>
      </c>
      <c r="AN100" s="11">
        <f>(S100/12.69)*100</f>
        <v>1.0843942395936973E-2</v>
      </c>
      <c r="AO100" s="11">
        <f>AVERAGE(AL100:AN100)</f>
        <v>1.1820874143318684E-2</v>
      </c>
      <c r="AP100" s="10">
        <v>1</v>
      </c>
      <c r="AQ100" s="10">
        <v>0</v>
      </c>
      <c r="AR100" s="10">
        <v>0.25</v>
      </c>
      <c r="AS100" s="10">
        <f>AF100/32</f>
        <v>0.1875</v>
      </c>
      <c r="AT100" s="10">
        <f>AG100/28</f>
        <v>0.14285714285714285</v>
      </c>
      <c r="AU100" s="10">
        <f>AVERAGE(AP100:AT100)*2</f>
        <v>0.63214285714285712</v>
      </c>
      <c r="AV100" s="11">
        <f>Y100/776.02</f>
        <v>7.3507148306391018E-2</v>
      </c>
      <c r="AW100" s="11">
        <f>Z100/639.8</f>
        <v>6.6113741130595552E-2</v>
      </c>
      <c r="AX100" s="11">
        <f>AA100/804.19</f>
        <v>7.0932263804232273E-2</v>
      </c>
      <c r="AY100" s="11">
        <f>AB100</f>
        <v>0.13039999999999999</v>
      </c>
      <c r="AZ100" s="11">
        <f>AC100</f>
        <v>0.13039999999999999</v>
      </c>
      <c r="BA100" s="11">
        <f>AD100</f>
        <v>0.13039999999999999</v>
      </c>
      <c r="BB100" s="10">
        <f>AVERAGE(AV100:BA100)*2</f>
        <v>0.2005843844137396</v>
      </c>
      <c r="BC100" s="10">
        <f>AVERAGE(AK100,AO100,AU100,BB100)</f>
        <v>0.32216066015213113</v>
      </c>
    </row>
    <row r="101" spans="1:55" x14ac:dyDescent="0.3">
      <c r="A101" s="2" t="s">
        <v>416</v>
      </c>
      <c r="B101" s="2" t="s">
        <v>258</v>
      </c>
      <c r="C101" s="2" t="s">
        <v>106</v>
      </c>
      <c r="D101" s="2" t="s">
        <v>106</v>
      </c>
      <c r="E101" s="2" t="s">
        <v>814</v>
      </c>
      <c r="F101" s="2" t="s">
        <v>106</v>
      </c>
      <c r="G101" s="2" t="s">
        <v>652</v>
      </c>
      <c r="H101" s="2" t="s">
        <v>885</v>
      </c>
      <c r="I101" s="2" t="s">
        <v>50</v>
      </c>
      <c r="J101" s="2">
        <v>2</v>
      </c>
      <c r="K101" s="9">
        <v>0.60534672662709432</v>
      </c>
      <c r="L101" s="9">
        <v>0.98153422235630883</v>
      </c>
      <c r="M101" s="9">
        <v>0.46332548896194353</v>
      </c>
      <c r="N101" s="4" t="s">
        <v>662</v>
      </c>
      <c r="P101" s="4" t="s">
        <v>662</v>
      </c>
      <c r="T101" s="2" t="s">
        <v>724</v>
      </c>
      <c r="U101" s="2" t="s">
        <v>725</v>
      </c>
      <c r="V101" s="5">
        <v>54945145</v>
      </c>
      <c r="W101" s="5">
        <v>54945145</v>
      </c>
      <c r="X101" s="5">
        <v>54945145</v>
      </c>
      <c r="Y101" s="5">
        <f>V101/551098</f>
        <v>99.70122373879056</v>
      </c>
      <c r="Z101" s="5">
        <f>W101/551098</f>
        <v>99.70122373879056</v>
      </c>
      <c r="AA101" s="5">
        <f>X101/551098</f>
        <v>99.70122373879056</v>
      </c>
      <c r="AB101" s="6">
        <v>8.3000000000000004E-2</v>
      </c>
      <c r="AC101" s="6">
        <v>8.3000000000000004E-2</v>
      </c>
      <c r="AD101" s="6">
        <v>8.3000000000000004E-2</v>
      </c>
      <c r="AE101" s="2" t="s">
        <v>770</v>
      </c>
      <c r="AF101" s="2">
        <v>6</v>
      </c>
      <c r="AG101" s="2">
        <v>4</v>
      </c>
      <c r="AH101" s="8">
        <f>K101</f>
        <v>0.60534672662709432</v>
      </c>
      <c r="AI101" s="8">
        <f>L101</f>
        <v>0.98153422235630883</v>
      </c>
      <c r="AJ101" s="8">
        <f>M101</f>
        <v>0.46332548896194353</v>
      </c>
      <c r="AK101" s="8">
        <f>AVERAGE(AH101:AJ101)</f>
        <v>0.68340214598178228</v>
      </c>
      <c r="AP101" s="10">
        <v>1</v>
      </c>
      <c r="AQ101" s="10">
        <v>0</v>
      </c>
      <c r="AR101" s="10">
        <v>0.25</v>
      </c>
      <c r="AS101" s="10">
        <f>AF101/32</f>
        <v>0.1875</v>
      </c>
      <c r="AT101" s="10">
        <f>AG101/28</f>
        <v>0.14285714285714285</v>
      </c>
      <c r="AU101" s="10">
        <f>AVERAGE(AP101:AT101)*2</f>
        <v>0.63214285714285712</v>
      </c>
      <c r="AV101" s="11">
        <f>Y101/776.02</f>
        <v>0.12847764714671087</v>
      </c>
      <c r="AW101" s="11">
        <f>Z101/639.8</f>
        <v>0.15583185954796899</v>
      </c>
      <c r="AX101" s="11">
        <f>AA101/804.19</f>
        <v>0.12397719909323736</v>
      </c>
      <c r="AY101" s="11">
        <f>AB101</f>
        <v>8.3000000000000004E-2</v>
      </c>
      <c r="AZ101" s="11">
        <f>AC101</f>
        <v>8.3000000000000004E-2</v>
      </c>
      <c r="BA101" s="11">
        <f>AD101</f>
        <v>8.3000000000000004E-2</v>
      </c>
      <c r="BB101" s="10">
        <f>AVERAGE(AV101:BA101)*2</f>
        <v>0.21909556859597237</v>
      </c>
    </row>
    <row r="102" spans="1:55" x14ac:dyDescent="0.3">
      <c r="A102" s="2" t="s">
        <v>402</v>
      </c>
      <c r="B102" s="2" t="s">
        <v>70</v>
      </c>
      <c r="C102" s="2" t="s">
        <v>95</v>
      </c>
      <c r="D102" s="2" t="s">
        <v>95</v>
      </c>
      <c r="E102" s="3" t="s">
        <v>95</v>
      </c>
      <c r="F102" s="3" t="s">
        <v>662</v>
      </c>
      <c r="G102" s="2" t="s">
        <v>651</v>
      </c>
      <c r="H102" s="2" t="s">
        <v>886</v>
      </c>
      <c r="I102" s="2" t="s">
        <v>728</v>
      </c>
      <c r="J102" s="2">
        <v>3</v>
      </c>
      <c r="N102" s="4" t="s">
        <v>662</v>
      </c>
      <c r="P102" s="4" t="s">
        <v>662</v>
      </c>
      <c r="T102" s="2" t="s">
        <v>724</v>
      </c>
      <c r="U102" s="2" t="s">
        <v>725</v>
      </c>
      <c r="V102" s="5" t="s">
        <v>662</v>
      </c>
      <c r="W102" s="5" t="s">
        <v>662</v>
      </c>
      <c r="Y102" s="5" t="s">
        <v>662</v>
      </c>
      <c r="Z102" s="5" t="s">
        <v>662</v>
      </c>
      <c r="AB102" s="5" t="s">
        <v>662</v>
      </c>
      <c r="AC102" s="5" t="s">
        <v>662</v>
      </c>
      <c r="AE102" s="2" t="s">
        <v>693</v>
      </c>
      <c r="AF102" s="2">
        <v>8</v>
      </c>
      <c r="AG102" s="2">
        <v>8</v>
      </c>
      <c r="AH102" s="8">
        <v>0.74154309560659626</v>
      </c>
      <c r="AI102" s="8">
        <v>0.78538946972629931</v>
      </c>
      <c r="AJ102" s="8">
        <v>0.36980357896511629</v>
      </c>
      <c r="AK102" s="8">
        <f>AVERAGE(AH102:AJ102)</f>
        <v>0.63224538143267062</v>
      </c>
      <c r="AP102" s="10">
        <v>1</v>
      </c>
      <c r="AQ102" s="10">
        <v>0</v>
      </c>
      <c r="AR102" s="10">
        <v>0</v>
      </c>
      <c r="AS102" s="10">
        <f>AF102/32</f>
        <v>0.25</v>
      </c>
      <c r="AT102" s="10">
        <f>AG102/28</f>
        <v>0.2857142857142857</v>
      </c>
      <c r="AU102" s="10">
        <f>AVERAGE(AP102:AT102)*2</f>
        <v>0.61428571428571421</v>
      </c>
    </row>
    <row r="103" spans="1:55" x14ac:dyDescent="0.3">
      <c r="A103" s="2" t="s">
        <v>568</v>
      </c>
      <c r="B103" s="2" t="s">
        <v>201</v>
      </c>
      <c r="C103" s="2" t="s">
        <v>215</v>
      </c>
      <c r="D103" s="2" t="s">
        <v>215</v>
      </c>
      <c r="E103" s="2" t="s">
        <v>830</v>
      </c>
      <c r="F103" s="2" t="s">
        <v>215</v>
      </c>
      <c r="G103" s="2" t="s">
        <v>653</v>
      </c>
      <c r="H103" s="2" t="s">
        <v>884</v>
      </c>
      <c r="I103" s="2" t="s">
        <v>215</v>
      </c>
      <c r="J103" s="2">
        <v>2</v>
      </c>
      <c r="K103" s="9">
        <v>0.67964013023449044</v>
      </c>
      <c r="L103" s="9">
        <v>1</v>
      </c>
      <c r="M103" s="9">
        <v>0.53866860641050085</v>
      </c>
      <c r="N103" s="4">
        <v>3500</v>
      </c>
      <c r="O103" s="6">
        <f>N103/172608</f>
        <v>2.0277159807193176E-2</v>
      </c>
      <c r="P103" s="4">
        <v>3500</v>
      </c>
      <c r="Q103" s="6">
        <f>P103/172608</f>
        <v>2.0277159807193176E-2</v>
      </c>
      <c r="R103" s="4">
        <v>3500</v>
      </c>
      <c r="S103" s="6">
        <v>2.0277159807193176E-2</v>
      </c>
      <c r="T103" s="2" t="s">
        <v>724</v>
      </c>
      <c r="U103" s="2" t="s">
        <v>725</v>
      </c>
      <c r="V103" s="5">
        <v>43686684.32</v>
      </c>
      <c r="W103" s="5">
        <v>43686684.32</v>
      </c>
      <c r="X103" s="5">
        <v>43686684.32</v>
      </c>
      <c r="Y103" s="5">
        <f>V103/172608</f>
        <v>253.09767982944012</v>
      </c>
      <c r="Z103" s="5">
        <f>W103/172608</f>
        <v>253.09767982944012</v>
      </c>
      <c r="AA103" s="5">
        <f>X103/172608</f>
        <v>253.09767982944012</v>
      </c>
      <c r="AB103" s="6">
        <v>0.48</v>
      </c>
      <c r="AC103" s="6">
        <v>0.48</v>
      </c>
      <c r="AD103" s="6">
        <v>0.48</v>
      </c>
      <c r="AE103" s="2">
        <v>2008</v>
      </c>
      <c r="AF103" s="2">
        <v>4</v>
      </c>
      <c r="AG103" s="2">
        <v>4</v>
      </c>
      <c r="AH103" s="8">
        <f>K103</f>
        <v>0.67964013023449044</v>
      </c>
      <c r="AI103" s="8">
        <f>L103</f>
        <v>1</v>
      </c>
      <c r="AJ103" s="8">
        <f>M103</f>
        <v>0.53866860641050085</v>
      </c>
      <c r="AK103" s="8">
        <f>AVERAGE(AH103:AJ103)</f>
        <v>0.73943624554833043</v>
      </c>
      <c r="AL103" s="11">
        <f>(O103/12.69)*100</f>
        <v>0.15978849335849626</v>
      </c>
      <c r="AM103" s="11">
        <f>(Q103/9.99)*100</f>
        <v>0.20297457264457633</v>
      </c>
      <c r="AN103" s="11">
        <f>(S103/12.69)*100</f>
        <v>0.15978849335849626</v>
      </c>
      <c r="AO103" s="11">
        <f>AVERAGE(AL103:AN103)</f>
        <v>0.17418385312052295</v>
      </c>
      <c r="AP103" s="10">
        <v>1</v>
      </c>
      <c r="AQ103" s="10">
        <v>0</v>
      </c>
      <c r="AR103" s="10">
        <v>0.25</v>
      </c>
      <c r="AS103" s="10">
        <f>AF103/32</f>
        <v>0.125</v>
      </c>
      <c r="AT103" s="10">
        <f>AG103/28</f>
        <v>0.14285714285714285</v>
      </c>
      <c r="AU103" s="10">
        <f>AVERAGE(AP103:AT103)*2</f>
        <v>0.6071428571428571</v>
      </c>
      <c r="AV103" s="11">
        <f>Y103/776.02</f>
        <v>0.32614839801737083</v>
      </c>
      <c r="AW103" s="11">
        <f>Z103/639.8</f>
        <v>0.39558874621669293</v>
      </c>
      <c r="AX103" s="11">
        <f>AA103/804.19</f>
        <v>0.31472373422877692</v>
      </c>
      <c r="AY103" s="11">
        <f>AB103</f>
        <v>0.48</v>
      </c>
      <c r="AZ103" s="11">
        <f>AC103</f>
        <v>0.48</v>
      </c>
      <c r="BA103" s="11">
        <f>AD103</f>
        <v>0.48</v>
      </c>
      <c r="BB103" s="10">
        <f>AVERAGE(AV103:BA103)*2</f>
        <v>0.82548695948761353</v>
      </c>
      <c r="BC103" s="10">
        <f>AVERAGE(AK103,AO103,AU103,BB103)</f>
        <v>0.58656247882483104</v>
      </c>
    </row>
    <row r="104" spans="1:55" x14ac:dyDescent="0.3">
      <c r="A104" s="2" t="s">
        <v>609</v>
      </c>
      <c r="B104" s="2" t="s">
        <v>201</v>
      </c>
      <c r="C104" s="2" t="s">
        <v>249</v>
      </c>
      <c r="D104" s="2" t="s">
        <v>249</v>
      </c>
      <c r="E104" s="2" t="s">
        <v>810</v>
      </c>
      <c r="F104" s="2" t="s">
        <v>249</v>
      </c>
      <c r="G104" s="2" t="s">
        <v>657</v>
      </c>
      <c r="H104" s="2" t="s">
        <v>884</v>
      </c>
      <c r="I104" s="2" t="s">
        <v>249</v>
      </c>
      <c r="J104" s="2">
        <v>1</v>
      </c>
      <c r="K104" s="9">
        <v>0.72773717142041083</v>
      </c>
      <c r="L104" s="9">
        <v>1</v>
      </c>
      <c r="M104" s="9">
        <v>0.34831522902008843</v>
      </c>
      <c r="N104" s="4">
        <v>1956</v>
      </c>
      <c r="O104" s="6">
        <f>N104/262480</f>
        <v>7.4519963425784819E-3</v>
      </c>
      <c r="P104" s="4">
        <v>1915</v>
      </c>
      <c r="Q104" s="6">
        <f>P104/262480</f>
        <v>7.2957939652544953E-3</v>
      </c>
      <c r="R104" s="4">
        <v>2302</v>
      </c>
      <c r="S104" s="6">
        <f>R104/245585</f>
        <v>9.3735366573691383E-3</v>
      </c>
      <c r="T104" s="2" t="s">
        <v>724</v>
      </c>
      <c r="U104" s="2" t="s">
        <v>725</v>
      </c>
      <c r="V104" s="5">
        <v>35683039.520000003</v>
      </c>
      <c r="W104" s="5">
        <v>29708729</v>
      </c>
      <c r="X104" s="5">
        <v>35683039.520000003</v>
      </c>
      <c r="Y104" s="5">
        <f>V104/245585</f>
        <v>145.29812293096077</v>
      </c>
      <c r="Z104" s="5">
        <f>W104/245585</f>
        <v>120.97126860353849</v>
      </c>
      <c r="AA104" s="5">
        <f>X104/245585</f>
        <v>145.29812293096077</v>
      </c>
      <c r="AB104" s="6">
        <v>0.15</v>
      </c>
      <c r="AC104" s="6">
        <v>0.15</v>
      </c>
      <c r="AD104" s="6">
        <v>0.15</v>
      </c>
      <c r="AE104" s="2">
        <v>2008</v>
      </c>
      <c r="AF104" s="2">
        <v>4</v>
      </c>
      <c r="AG104" s="2">
        <v>4</v>
      </c>
      <c r="AH104" s="8">
        <f>K104</f>
        <v>0.72773717142041083</v>
      </c>
      <c r="AI104" s="8">
        <f>L104</f>
        <v>1</v>
      </c>
      <c r="AJ104" s="8">
        <f>M104</f>
        <v>0.34831522902008843</v>
      </c>
      <c r="AK104" s="8">
        <f>AVERAGE(AH104:AJ104)</f>
        <v>0.69201746681349974</v>
      </c>
      <c r="AL104" s="11">
        <f>(O104/12.69)*100</f>
        <v>5.8723375434030584E-2</v>
      </c>
      <c r="AM104" s="11">
        <f>(Q104/9.99)*100</f>
        <v>7.3030970623168115E-2</v>
      </c>
      <c r="AN104" s="11">
        <f>(S104/12.69)*100</f>
        <v>7.3865537095107472E-2</v>
      </c>
      <c r="AO104" s="11">
        <f>AVERAGE(AL104:AN104)</f>
        <v>6.8539961050768719E-2</v>
      </c>
      <c r="AP104" s="10">
        <v>1</v>
      </c>
      <c r="AQ104" s="10">
        <v>0</v>
      </c>
      <c r="AR104" s="10">
        <v>0.25</v>
      </c>
      <c r="AS104" s="10">
        <f>AF104/32</f>
        <v>0.125</v>
      </c>
      <c r="AT104" s="10">
        <f>AG104/28</f>
        <v>0.14285714285714285</v>
      </c>
      <c r="AU104" s="10">
        <f>AVERAGE(AP104:AT104)*2</f>
        <v>0.6071428571428571</v>
      </c>
      <c r="AV104" s="11">
        <f>Y104/776.02</f>
        <v>0.18723502349290067</v>
      </c>
      <c r="AW104" s="11">
        <f>Z104/639.8</f>
        <v>0.1890766936597976</v>
      </c>
      <c r="AX104" s="11">
        <f>AA104/804.19</f>
        <v>0.18067636122180178</v>
      </c>
      <c r="AY104" s="11">
        <f>AB104</f>
        <v>0.15</v>
      </c>
      <c r="AZ104" s="11">
        <f>AC104</f>
        <v>0.15</v>
      </c>
      <c r="BA104" s="11">
        <f>AD104</f>
        <v>0.15</v>
      </c>
      <c r="BB104" s="10">
        <f>AVERAGE(AV104:BA104)*2</f>
        <v>0.33566269279150002</v>
      </c>
      <c r="BC104" s="10">
        <f>AVERAGE(AK104,AO104,AU104,BB104)</f>
        <v>0.42584074444965642</v>
      </c>
    </row>
    <row r="105" spans="1:55" x14ac:dyDescent="0.3">
      <c r="A105" s="2" t="s">
        <v>505</v>
      </c>
      <c r="B105" s="2" t="s">
        <v>167</v>
      </c>
      <c r="C105" s="2" t="s">
        <v>180</v>
      </c>
      <c r="D105" s="2" t="s">
        <v>180</v>
      </c>
      <c r="E105" s="2" t="s">
        <v>180</v>
      </c>
      <c r="F105" s="2" t="s">
        <v>180</v>
      </c>
      <c r="G105" s="2" t="s">
        <v>651</v>
      </c>
      <c r="H105" s="2" t="s">
        <v>886</v>
      </c>
      <c r="I105" s="2" t="s">
        <v>179</v>
      </c>
      <c r="J105" s="2">
        <v>2</v>
      </c>
      <c r="K105" s="9">
        <v>0.66520816727212051</v>
      </c>
      <c r="L105" s="9">
        <v>1</v>
      </c>
      <c r="M105" s="9">
        <v>0.26516013968213908</v>
      </c>
      <c r="N105" s="4">
        <v>11000</v>
      </c>
      <c r="O105" s="6">
        <f>N105/243611</f>
        <v>4.5153954460184477E-2</v>
      </c>
      <c r="P105" s="4">
        <v>11000</v>
      </c>
      <c r="Q105" s="6">
        <f>P105/243611</f>
        <v>4.5153954460184477E-2</v>
      </c>
      <c r="R105" s="4">
        <f>P105</f>
        <v>11000</v>
      </c>
      <c r="S105" s="6">
        <f>Q105</f>
        <v>4.5153954460184477E-2</v>
      </c>
      <c r="T105" s="2" t="s">
        <v>724</v>
      </c>
      <c r="U105" s="2" t="s">
        <v>725</v>
      </c>
      <c r="V105" s="5" t="s">
        <v>662</v>
      </c>
      <c r="W105" s="5" t="s">
        <v>662</v>
      </c>
      <c r="Y105" s="5" t="s">
        <v>662</v>
      </c>
      <c r="Z105" s="5" t="s">
        <v>662</v>
      </c>
      <c r="AB105" s="5" t="s">
        <v>662</v>
      </c>
      <c r="AC105" s="5" t="s">
        <v>662</v>
      </c>
      <c r="AE105" s="2">
        <v>2004</v>
      </c>
      <c r="AF105" s="2">
        <v>4</v>
      </c>
      <c r="AG105" s="2">
        <v>4</v>
      </c>
      <c r="AH105" s="8">
        <f>K105</f>
        <v>0.66520816727212051</v>
      </c>
      <c r="AI105" s="8">
        <f>L105</f>
        <v>1</v>
      </c>
      <c r="AJ105" s="8">
        <f>M105</f>
        <v>0.26516013968213908</v>
      </c>
      <c r="AK105" s="8">
        <f>AVERAGE(AH105:AJ105)</f>
        <v>0.64345610231808648</v>
      </c>
      <c r="AL105" s="11">
        <f>(O105/12.69)*100</f>
        <v>0.35582312419373113</v>
      </c>
      <c r="AM105" s="11">
        <f>(Q105/9.99)*100</f>
        <v>0.45199153613798271</v>
      </c>
      <c r="AN105" s="11">
        <f>(S105/12.69)*100</f>
        <v>0.35582312419373113</v>
      </c>
      <c r="AO105" s="11">
        <f>AVERAGE(AL105:AN105)</f>
        <v>0.38787926150848162</v>
      </c>
      <c r="AP105" s="10">
        <v>1</v>
      </c>
      <c r="AQ105" s="10">
        <v>0</v>
      </c>
      <c r="AR105" s="10">
        <v>0.25</v>
      </c>
      <c r="AS105" s="10">
        <f>AF105/32</f>
        <v>0.125</v>
      </c>
      <c r="AT105" s="10">
        <f>AG105/28</f>
        <v>0.14285714285714285</v>
      </c>
      <c r="AU105" s="10">
        <f>AVERAGE(AP105:AT105)*2</f>
        <v>0.6071428571428571</v>
      </c>
    </row>
    <row r="106" spans="1:55" x14ac:dyDescent="0.3">
      <c r="A106" s="2" t="s">
        <v>579</v>
      </c>
      <c r="B106" s="2" t="s">
        <v>201</v>
      </c>
      <c r="C106" s="2" t="s">
        <v>215</v>
      </c>
      <c r="D106" s="2" t="s">
        <v>267</v>
      </c>
      <c r="E106" s="2" t="s">
        <v>267</v>
      </c>
      <c r="F106" s="2" t="s">
        <v>267</v>
      </c>
      <c r="G106" s="2" t="s">
        <v>651</v>
      </c>
      <c r="H106" s="2" t="s">
        <v>886</v>
      </c>
      <c r="I106" s="2" t="s">
        <v>249</v>
      </c>
      <c r="J106" s="2">
        <v>2</v>
      </c>
      <c r="N106" s="4" t="s">
        <v>662</v>
      </c>
      <c r="P106" s="4" t="s">
        <v>662</v>
      </c>
      <c r="T106" s="2" t="s">
        <v>724</v>
      </c>
      <c r="U106" s="2" t="s">
        <v>725</v>
      </c>
      <c r="V106" s="5" t="s">
        <v>662</v>
      </c>
      <c r="W106" s="5" t="s">
        <v>662</v>
      </c>
      <c r="Y106" s="5" t="s">
        <v>662</v>
      </c>
      <c r="Z106" s="5" t="s">
        <v>662</v>
      </c>
      <c r="AB106" s="5" t="s">
        <v>662</v>
      </c>
      <c r="AC106" s="5" t="s">
        <v>662</v>
      </c>
      <c r="AE106" s="2">
        <v>2016</v>
      </c>
      <c r="AF106" s="2">
        <v>4</v>
      </c>
      <c r="AG106" s="2">
        <v>4</v>
      </c>
      <c r="AH106" s="8">
        <v>0.58807870843395482</v>
      </c>
      <c r="AI106" s="8">
        <v>1</v>
      </c>
      <c r="AJ106" s="8">
        <v>0.27026032163740665</v>
      </c>
      <c r="AK106" s="8">
        <f>AVERAGE(AH106:AJ106)</f>
        <v>0.61944634335712057</v>
      </c>
      <c r="AP106" s="10">
        <v>1</v>
      </c>
      <c r="AQ106" s="10">
        <v>0</v>
      </c>
      <c r="AR106" s="10">
        <v>0.25</v>
      </c>
      <c r="AS106" s="10">
        <f>AF106/32</f>
        <v>0.125</v>
      </c>
      <c r="AT106" s="10">
        <f>AG106/28</f>
        <v>0.14285714285714285</v>
      </c>
      <c r="AU106" s="10">
        <f>AVERAGE(AP106:AT106)*2</f>
        <v>0.6071428571428571</v>
      </c>
    </row>
    <row r="107" spans="1:55" x14ac:dyDescent="0.3">
      <c r="A107" s="2" t="s">
        <v>360</v>
      </c>
      <c r="B107" s="2" t="s">
        <v>58</v>
      </c>
      <c r="C107" s="2" t="s">
        <v>645</v>
      </c>
      <c r="D107" s="2" t="s">
        <v>649</v>
      </c>
      <c r="E107" s="2" t="s">
        <v>275</v>
      </c>
      <c r="F107" s="2" t="s">
        <v>50</v>
      </c>
      <c r="G107" s="2" t="s">
        <v>658</v>
      </c>
      <c r="H107" s="2" t="s">
        <v>884</v>
      </c>
      <c r="I107" s="2" t="s">
        <v>50</v>
      </c>
      <c r="J107" s="2">
        <v>1</v>
      </c>
      <c r="K107" s="9">
        <v>0.46052351024058408</v>
      </c>
      <c r="L107" s="9">
        <v>0.18003551617342659</v>
      </c>
      <c r="M107" s="9">
        <v>0.37789177411296221</v>
      </c>
      <c r="N107" s="4">
        <v>2566</v>
      </c>
      <c r="O107" s="6">
        <f>N107/70248</f>
        <v>3.6527730326842048E-2</v>
      </c>
      <c r="P107" s="4">
        <v>1923</v>
      </c>
      <c r="Q107" s="6">
        <f>P107/70248</f>
        <v>2.7374444824051929E-2</v>
      </c>
      <c r="R107" s="4">
        <v>2566</v>
      </c>
      <c r="S107" s="6">
        <v>3.6527730326842048E-2</v>
      </c>
      <c r="T107" s="2" t="s">
        <v>724</v>
      </c>
      <c r="U107" s="2" t="s">
        <v>725</v>
      </c>
      <c r="V107" s="5" t="s">
        <v>662</v>
      </c>
      <c r="W107" s="5" t="s">
        <v>662</v>
      </c>
      <c r="Y107" s="5" t="s">
        <v>662</v>
      </c>
      <c r="Z107" s="5" t="s">
        <v>662</v>
      </c>
      <c r="AB107" s="5" t="s">
        <v>662</v>
      </c>
      <c r="AC107" s="5" t="s">
        <v>662</v>
      </c>
      <c r="AE107" s="2">
        <v>2020</v>
      </c>
      <c r="AF107" s="2">
        <v>3</v>
      </c>
      <c r="AG107" s="2">
        <v>3</v>
      </c>
      <c r="AH107" s="8">
        <f>K107</f>
        <v>0.46052351024058408</v>
      </c>
      <c r="AI107" s="8">
        <f>L107</f>
        <v>0.18003551617342659</v>
      </c>
      <c r="AJ107" s="8">
        <f>M107</f>
        <v>0.37789177411296221</v>
      </c>
      <c r="AK107" s="8">
        <f>AVERAGE(AH107:AJ107)</f>
        <v>0.3394836001756576</v>
      </c>
      <c r="AL107" s="11">
        <f>(O107/12.69)*100</f>
        <v>0.28784657467960639</v>
      </c>
      <c r="AM107" s="11">
        <f>(Q107/9.99)*100</f>
        <v>0.27401846670722652</v>
      </c>
      <c r="AN107" s="11">
        <f>(S107/12.69)*100</f>
        <v>0.28784657467960639</v>
      </c>
      <c r="AO107" s="11">
        <f>AVERAGE(AL107:AN107)</f>
        <v>0.28323720535547975</v>
      </c>
      <c r="AP107" s="10">
        <v>1</v>
      </c>
      <c r="AQ107" s="10">
        <v>0</v>
      </c>
      <c r="AR107" s="10">
        <v>0.25</v>
      </c>
      <c r="AS107" s="10">
        <f>AF107/32</f>
        <v>9.375E-2</v>
      </c>
      <c r="AT107" s="10">
        <f>AG107/28</f>
        <v>0.10714285714285714</v>
      </c>
      <c r="AU107" s="10">
        <f>AVERAGE(AP107:AT107)*2</f>
        <v>0.5803571428571429</v>
      </c>
    </row>
    <row r="108" spans="1:55" x14ac:dyDescent="0.3">
      <c r="A108" s="2" t="s">
        <v>377</v>
      </c>
      <c r="B108" s="2" t="s">
        <v>70</v>
      </c>
      <c r="C108" s="2" t="s">
        <v>74</v>
      </c>
      <c r="D108" s="2" t="s">
        <v>74</v>
      </c>
      <c r="E108" s="3" t="s">
        <v>820</v>
      </c>
      <c r="F108" s="3" t="s">
        <v>74</v>
      </c>
      <c r="G108" s="2" t="s">
        <v>653</v>
      </c>
      <c r="H108" s="2" t="s">
        <v>884</v>
      </c>
      <c r="I108" s="2" t="s">
        <v>74</v>
      </c>
      <c r="J108" s="2">
        <v>1</v>
      </c>
      <c r="K108" s="9">
        <v>0.68750387158324677</v>
      </c>
      <c r="L108" s="9">
        <v>0.96298839859448382</v>
      </c>
      <c r="M108" s="9">
        <v>0.41026561751501889</v>
      </c>
      <c r="N108" s="4" t="s">
        <v>662</v>
      </c>
      <c r="P108" s="4" t="s">
        <v>662</v>
      </c>
      <c r="T108" s="2" t="s">
        <v>724</v>
      </c>
      <c r="U108" s="2" t="s">
        <v>725</v>
      </c>
      <c r="V108" s="5">
        <v>6915555.1299999999</v>
      </c>
      <c r="W108" s="5">
        <v>6915555.1299999999</v>
      </c>
      <c r="X108" s="5">
        <v>6915555.1299999999</v>
      </c>
      <c r="Y108" s="5">
        <f>V108/33973</f>
        <v>203.56033114532127</v>
      </c>
      <c r="Z108" s="5">
        <f>W108/33973</f>
        <v>203.56033114532127</v>
      </c>
      <c r="AA108" s="5">
        <f>X108/33973</f>
        <v>203.56033114532127</v>
      </c>
      <c r="AE108" s="2" t="s">
        <v>732</v>
      </c>
      <c r="AF108" s="2">
        <v>2</v>
      </c>
      <c r="AG108" s="2">
        <v>2</v>
      </c>
      <c r="AH108" s="8">
        <f>K108</f>
        <v>0.68750387158324677</v>
      </c>
      <c r="AI108" s="8">
        <f>L108</f>
        <v>0.96298839859448382</v>
      </c>
      <c r="AJ108" s="8">
        <f>M108</f>
        <v>0.41026561751501889</v>
      </c>
      <c r="AK108" s="8">
        <f>AVERAGE(AH108:AJ108)</f>
        <v>0.68691929589758327</v>
      </c>
      <c r="AP108" s="10">
        <v>1</v>
      </c>
      <c r="AQ108" s="10">
        <v>0</v>
      </c>
      <c r="AR108" s="10">
        <v>0.25</v>
      </c>
      <c r="AS108" s="10">
        <f>AF108/32</f>
        <v>6.25E-2</v>
      </c>
      <c r="AT108" s="10">
        <f>AG108/28</f>
        <v>7.1428571428571425E-2</v>
      </c>
      <c r="AU108" s="10">
        <f>AVERAGE(AP108:AT108)*2</f>
        <v>0.5535714285714286</v>
      </c>
      <c r="AV108" s="11">
        <f>Y108/776.02</f>
        <v>0.26231325371165853</v>
      </c>
      <c r="AW108" s="11">
        <f>Z108/639.8</f>
        <v>0.31816244317805764</v>
      </c>
      <c r="AX108" s="11">
        <f>AA108/804.19</f>
        <v>0.25312467345443396</v>
      </c>
      <c r="AY108" s="11"/>
    </row>
    <row r="109" spans="1:55" x14ac:dyDescent="0.3">
      <c r="A109" s="2" t="s">
        <v>528</v>
      </c>
      <c r="B109" s="2" t="s">
        <v>186</v>
      </c>
      <c r="C109" s="2" t="s">
        <v>194</v>
      </c>
      <c r="D109" s="2" t="s">
        <v>194</v>
      </c>
      <c r="E109" s="2" t="s">
        <v>194</v>
      </c>
      <c r="F109" s="2" t="s">
        <v>194</v>
      </c>
      <c r="G109" s="2" t="s">
        <v>656</v>
      </c>
      <c r="H109" s="2" t="s">
        <v>886</v>
      </c>
      <c r="I109" s="2" t="s">
        <v>192</v>
      </c>
      <c r="J109" s="2">
        <v>2</v>
      </c>
      <c r="K109" s="9">
        <v>0.53231885654610323</v>
      </c>
      <c r="L109" s="9">
        <v>1</v>
      </c>
      <c r="M109" s="9">
        <v>0.24041067860752818</v>
      </c>
      <c r="N109" s="4">
        <v>3106</v>
      </c>
      <c r="O109" s="6">
        <f>N109/515288</f>
        <v>6.0276971324773722E-3</v>
      </c>
      <c r="P109" s="4">
        <v>2924</v>
      </c>
      <c r="Q109" s="6">
        <f>P109/515288</f>
        <v>5.6744965921969853E-3</v>
      </c>
      <c r="R109" s="4">
        <v>3106</v>
      </c>
      <c r="S109" s="6">
        <v>6.0000000000000001E-3</v>
      </c>
      <c r="T109" s="2" t="s">
        <v>724</v>
      </c>
      <c r="U109" s="2" t="s">
        <v>725</v>
      </c>
      <c r="V109" s="5">
        <v>40597717.25</v>
      </c>
      <c r="W109" s="5">
        <v>34031351.630000003</v>
      </c>
      <c r="X109" s="5">
        <v>40597717.25</v>
      </c>
      <c r="Y109" s="5">
        <f>V109/515288</f>
        <v>78.786459707969129</v>
      </c>
      <c r="Z109" s="5">
        <f>W109/515288</f>
        <v>66.043361440592449</v>
      </c>
      <c r="AA109" s="5">
        <f>X109/515288</f>
        <v>78.786459707969129</v>
      </c>
      <c r="AB109" s="6">
        <v>0.1</v>
      </c>
      <c r="AC109" s="6">
        <v>0.1</v>
      </c>
      <c r="AD109" s="6">
        <v>0.1</v>
      </c>
      <c r="AE109" s="2" t="s">
        <v>726</v>
      </c>
      <c r="AF109" s="2">
        <v>2</v>
      </c>
      <c r="AG109" s="2">
        <v>2</v>
      </c>
      <c r="AH109" s="8">
        <f>K109</f>
        <v>0.53231885654610323</v>
      </c>
      <c r="AI109" s="8">
        <f>L109</f>
        <v>1</v>
      </c>
      <c r="AJ109" s="8">
        <f>M109</f>
        <v>0.24041067860752818</v>
      </c>
      <c r="AK109" s="8">
        <f>AVERAGE(AH109:AJ109)</f>
        <v>0.59090984505121047</v>
      </c>
      <c r="AL109" s="11">
        <f>(O109/12.69)*100</f>
        <v>4.7499583392256677E-2</v>
      </c>
      <c r="AM109" s="11">
        <f>(Q109/9.99)*100</f>
        <v>5.6801767689659506E-2</v>
      </c>
      <c r="AN109" s="11">
        <f>(S109/12.69)*100</f>
        <v>4.7281323877068564E-2</v>
      </c>
      <c r="AO109" s="11">
        <f>AVERAGE(AL109:AN109)</f>
        <v>5.0527558319661582E-2</v>
      </c>
      <c r="AP109" s="10">
        <v>1</v>
      </c>
      <c r="AQ109" s="10">
        <v>0</v>
      </c>
      <c r="AR109" s="10">
        <v>0.25</v>
      </c>
      <c r="AS109" s="10">
        <f>AF109/32</f>
        <v>6.25E-2</v>
      </c>
      <c r="AT109" s="10">
        <f>AG109/28</f>
        <v>7.1428571428571425E-2</v>
      </c>
      <c r="AU109" s="10">
        <f>AVERAGE(AP109:AT109)*2</f>
        <v>0.5535714285714286</v>
      </c>
      <c r="AV109" s="11">
        <f>Y109/776.02</f>
        <v>0.10152632626474721</v>
      </c>
      <c r="AW109" s="11">
        <f>Z109/639.8</f>
        <v>0.10322501006657152</v>
      </c>
      <c r="AX109" s="11">
        <f>AA109/804.19</f>
        <v>9.7969956985251155E-2</v>
      </c>
      <c r="AY109" s="11">
        <f>AB109</f>
        <v>0.1</v>
      </c>
      <c r="AZ109" s="11">
        <f>AC109</f>
        <v>0.1</v>
      </c>
      <c r="BA109" s="11">
        <f>AD109</f>
        <v>0.1</v>
      </c>
      <c r="BB109" s="10">
        <f>AVERAGE(AV109:BA109)*2</f>
        <v>0.20090709777218996</v>
      </c>
      <c r="BC109" s="10">
        <f>AVERAGE(AK109,AO109,AU109,BB109)</f>
        <v>0.34897898242862269</v>
      </c>
    </row>
    <row r="110" spans="1:55" x14ac:dyDescent="0.3">
      <c r="A110" s="2" t="s">
        <v>354</v>
      </c>
      <c r="B110" s="2" t="s">
        <v>52</v>
      </c>
      <c r="C110" s="2" t="s">
        <v>57</v>
      </c>
      <c r="D110" s="2" t="s">
        <v>57</v>
      </c>
      <c r="E110" s="2" t="s">
        <v>69</v>
      </c>
      <c r="F110" s="2" t="s">
        <v>57</v>
      </c>
      <c r="G110" s="2" t="s">
        <v>653</v>
      </c>
      <c r="H110" s="2" t="s">
        <v>884</v>
      </c>
      <c r="I110" s="2" t="s">
        <v>57</v>
      </c>
      <c r="J110" s="2">
        <v>1</v>
      </c>
      <c r="K110" s="9">
        <v>0.71470369463603722</v>
      </c>
      <c r="L110" s="9">
        <v>0.71335716923000003</v>
      </c>
      <c r="M110" s="9">
        <v>0.90844629245396213</v>
      </c>
      <c r="N110" s="4">
        <v>1624</v>
      </c>
      <c r="O110" s="6">
        <f>N110/71443</f>
        <v>2.2731408255532382E-2</v>
      </c>
      <c r="P110" s="4">
        <v>1624</v>
      </c>
      <c r="Q110" s="6">
        <f>O110</f>
        <v>2.2731408255532382E-2</v>
      </c>
      <c r="R110" s="4">
        <v>1624</v>
      </c>
      <c r="S110" s="6">
        <v>2.2731408255532382E-2</v>
      </c>
      <c r="T110" s="2" t="s">
        <v>724</v>
      </c>
      <c r="U110" s="2" t="s">
        <v>725</v>
      </c>
      <c r="AE110" s="2" t="s">
        <v>766</v>
      </c>
      <c r="AF110" s="2">
        <v>2</v>
      </c>
      <c r="AG110" s="2">
        <v>1</v>
      </c>
      <c r="AH110" s="8">
        <f>K110</f>
        <v>0.71470369463603722</v>
      </c>
      <c r="AI110" s="8">
        <f>L110</f>
        <v>0.71335716923000003</v>
      </c>
      <c r="AJ110" s="8">
        <f>M110</f>
        <v>0.90844629245396213</v>
      </c>
      <c r="AK110" s="8">
        <f>AVERAGE(AH110:AJ110)</f>
        <v>0.77883571877333313</v>
      </c>
      <c r="AL110" s="11">
        <f>(O110/12.69)*100</f>
        <v>0.17912851265194943</v>
      </c>
      <c r="AM110" s="11">
        <f>(Q110/9.99)*100</f>
        <v>0.2275416241795033</v>
      </c>
      <c r="AN110" s="11">
        <f>(S110/12.69)*100</f>
        <v>0.17912851265194943</v>
      </c>
      <c r="AO110" s="11">
        <f>AVERAGE(AL110:AN110)</f>
        <v>0.19526621649446738</v>
      </c>
      <c r="AP110" s="10">
        <v>1</v>
      </c>
      <c r="AQ110" s="10">
        <v>0</v>
      </c>
      <c r="AR110" s="10">
        <v>0.25</v>
      </c>
      <c r="AS110" s="10">
        <f>AF110/32</f>
        <v>6.25E-2</v>
      </c>
      <c r="AT110" s="10">
        <f>AG110/28</f>
        <v>3.5714285714285712E-2</v>
      </c>
      <c r="AU110" s="10">
        <f>AVERAGE(AP110:AT110)*2</f>
        <v>0.53928571428571437</v>
      </c>
    </row>
    <row r="111" spans="1:55" x14ac:dyDescent="0.3">
      <c r="A111" s="2" t="s">
        <v>550</v>
      </c>
      <c r="B111" s="2" t="s">
        <v>201</v>
      </c>
      <c r="C111" s="2" t="s">
        <v>215</v>
      </c>
      <c r="D111" s="2" t="s">
        <v>287</v>
      </c>
      <c r="E111" s="2" t="s">
        <v>797</v>
      </c>
      <c r="F111" s="2" t="s">
        <v>662</v>
      </c>
      <c r="G111" s="2" t="s">
        <v>654</v>
      </c>
      <c r="H111" s="2" t="s">
        <v>888</v>
      </c>
      <c r="I111" s="2" t="s">
        <v>249</v>
      </c>
      <c r="J111" s="2">
        <v>3</v>
      </c>
      <c r="K111" s="9">
        <v>0.63871593783126857</v>
      </c>
      <c r="L111" s="9">
        <v>1</v>
      </c>
      <c r="M111" s="9">
        <v>0.32307464893961724</v>
      </c>
      <c r="N111" s="4">
        <v>479</v>
      </c>
      <c r="O111" s="6">
        <f>N111/146744</f>
        <v>3.2641879736139126E-3</v>
      </c>
      <c r="P111" s="4">
        <v>479</v>
      </c>
      <c r="Q111" s="6">
        <f>O111</f>
        <v>3.2641879736139126E-3</v>
      </c>
      <c r="R111" s="4">
        <v>479</v>
      </c>
      <c r="S111" s="6">
        <v>3.2641879736139126E-3</v>
      </c>
      <c r="T111" s="2" t="s">
        <v>724</v>
      </c>
      <c r="U111" s="2" t="s">
        <v>725</v>
      </c>
      <c r="V111" s="5">
        <v>8030996.7999999998</v>
      </c>
      <c r="W111" s="5">
        <v>8030996.7999999998</v>
      </c>
      <c r="X111" s="5">
        <v>8030996.7999999998</v>
      </c>
      <c r="Y111" s="5">
        <f>V111/146744</f>
        <v>54.727939813552851</v>
      </c>
      <c r="Z111" s="5">
        <f>W111/146774</f>
        <v>54.716753648466351</v>
      </c>
      <c r="AA111" s="5">
        <f>X111/146774</f>
        <v>54.716753648466351</v>
      </c>
      <c r="AB111" s="6">
        <v>5.8599999999999999E-2</v>
      </c>
      <c r="AC111" s="6">
        <v>5.8599999999999999E-2</v>
      </c>
      <c r="AD111" s="6">
        <v>5.8599999999999999E-2</v>
      </c>
      <c r="AE111" s="1">
        <v>2014</v>
      </c>
      <c r="AF111" s="2">
        <v>1</v>
      </c>
      <c r="AG111" s="2">
        <v>1</v>
      </c>
      <c r="AH111" s="8">
        <f>K111</f>
        <v>0.63871593783126857</v>
      </c>
      <c r="AI111" s="8">
        <f>L111</f>
        <v>1</v>
      </c>
      <c r="AJ111" s="8">
        <f>M111</f>
        <v>0.32307464893961724</v>
      </c>
      <c r="AK111" s="8">
        <f>AVERAGE(AH111:AJ111)</f>
        <v>0.6539301955902953</v>
      </c>
      <c r="AL111" s="11">
        <f>(O111/12.69)*100</f>
        <v>2.5722521462678588E-2</v>
      </c>
      <c r="AM111" s="11">
        <f>(Q111/9.99)*100</f>
        <v>3.2674554290429557E-2</v>
      </c>
      <c r="AN111" s="11">
        <f>(S111/12.69)*100</f>
        <v>2.5722521462678588E-2</v>
      </c>
      <c r="AO111" s="11">
        <f>AVERAGE(AL111:AN111)</f>
        <v>2.8039865738595581E-2</v>
      </c>
      <c r="AP111" s="10">
        <v>1</v>
      </c>
      <c r="AQ111" s="10">
        <v>0</v>
      </c>
      <c r="AR111" s="10">
        <v>0.25</v>
      </c>
      <c r="AS111" s="10">
        <f>AF111/32</f>
        <v>3.125E-2</v>
      </c>
      <c r="AT111" s="10">
        <f>AG111/28</f>
        <v>3.5714285714285712E-2</v>
      </c>
      <c r="AU111" s="10">
        <f>AVERAGE(AP111:AT111)*2</f>
        <v>0.5267857142857143</v>
      </c>
      <c r="AV111" s="11">
        <f>Y111/776.02</f>
        <v>7.0523878010299801E-2</v>
      </c>
      <c r="AW111" s="11">
        <f>Z111/639.8</f>
        <v>8.552165309232003E-2</v>
      </c>
      <c r="AX111" s="11">
        <f>AA111/804.19</f>
        <v>6.8039584735530595E-2</v>
      </c>
      <c r="AY111" s="11">
        <f>AB111</f>
        <v>5.8599999999999999E-2</v>
      </c>
      <c r="AZ111" s="11">
        <f>AC111</f>
        <v>5.8599999999999999E-2</v>
      </c>
      <c r="BA111" s="11">
        <f>AD111</f>
        <v>5.8599999999999999E-2</v>
      </c>
      <c r="BB111" s="10">
        <f>AVERAGE(AV111:BA111)*2</f>
        <v>0.1332950386127168</v>
      </c>
      <c r="BC111" s="10">
        <f>AVERAGE(AK111,AO111,AU111,BB111)</f>
        <v>0.33551270355683049</v>
      </c>
    </row>
    <row r="112" spans="1:55" x14ac:dyDescent="0.3">
      <c r="A112" s="2" t="s">
        <v>468</v>
      </c>
      <c r="B112" s="2" t="s">
        <v>146</v>
      </c>
      <c r="C112" s="2" t="s">
        <v>155</v>
      </c>
      <c r="D112" s="2" t="s">
        <v>155</v>
      </c>
      <c r="E112" s="2" t="s">
        <v>788</v>
      </c>
      <c r="F112" s="2" t="s">
        <v>155</v>
      </c>
      <c r="G112" s="2" t="s">
        <v>658</v>
      </c>
      <c r="H112" s="2" t="s">
        <v>884</v>
      </c>
      <c r="I112" s="2" t="s">
        <v>155</v>
      </c>
      <c r="J112" s="2">
        <v>1</v>
      </c>
      <c r="K112" s="9">
        <v>0.85174444243630132</v>
      </c>
      <c r="L112" s="9">
        <v>0.94523115135693525</v>
      </c>
      <c r="M112" s="9">
        <v>0.67160319745291663</v>
      </c>
      <c r="N112" s="4">
        <v>732</v>
      </c>
      <c r="O112" s="6">
        <f>N112/487562</f>
        <v>1.5013475209306713E-3</v>
      </c>
      <c r="P112" s="4">
        <v>973</v>
      </c>
      <c r="Q112" s="6">
        <f>P112/473507</f>
        <v>2.0548798645004191E-3</v>
      </c>
      <c r="R112" s="4">
        <v>1255</v>
      </c>
      <c r="S112" s="6">
        <f>R112/459451</f>
        <v>2.7315208803550322E-3</v>
      </c>
      <c r="T112" s="2" t="s">
        <v>723</v>
      </c>
      <c r="U112" s="2" t="s">
        <v>725</v>
      </c>
      <c r="V112" s="5">
        <v>1791832.14</v>
      </c>
      <c r="W112" s="5">
        <v>3981240.57</v>
      </c>
      <c r="X112" s="5">
        <v>6035911.9199999999</v>
      </c>
      <c r="Y112" s="5">
        <f>V112/459451</f>
        <v>3.8999417565746946</v>
      </c>
      <c r="Z112" s="5">
        <v>1.37</v>
      </c>
      <c r="AA112" s="5">
        <f>X112/459451</f>
        <v>13.137226646584729</v>
      </c>
      <c r="AB112" s="6">
        <v>0.02</v>
      </c>
      <c r="AC112" s="6">
        <v>0.02</v>
      </c>
      <c r="AD112" s="6">
        <v>0.02</v>
      </c>
      <c r="AE112" s="2" t="s">
        <v>686</v>
      </c>
      <c r="AF112" s="2">
        <v>12</v>
      </c>
      <c r="AG112" s="2">
        <v>12</v>
      </c>
      <c r="AH112" s="8">
        <f>K112</f>
        <v>0.85174444243630132</v>
      </c>
      <c r="AI112" s="8">
        <f>L112</f>
        <v>0.94523115135693525</v>
      </c>
      <c r="AJ112" s="8">
        <f>M112</f>
        <v>0.67160319745291663</v>
      </c>
      <c r="AK112" s="8">
        <f>AVERAGE(AH112:AJ112)</f>
        <v>0.82285959708205103</v>
      </c>
      <c r="AL112" s="11">
        <f>(O112/12.69)*100</f>
        <v>1.1830949731526173E-2</v>
      </c>
      <c r="AM112" s="11">
        <f>(Q112/9.99)*100</f>
        <v>2.056936801301721E-2</v>
      </c>
      <c r="AN112" s="11">
        <f>(S112/12.69)*100</f>
        <v>2.1524987236840286E-2</v>
      </c>
      <c r="AO112" s="11">
        <f>AVERAGE(AL112:AN112)</f>
        <v>1.7975101660461224E-2</v>
      </c>
      <c r="AP112" s="10">
        <v>0.25</v>
      </c>
      <c r="AQ112" s="10">
        <v>0</v>
      </c>
      <c r="AR112" s="10">
        <v>0.25</v>
      </c>
      <c r="AS112" s="10">
        <f>AF112/32</f>
        <v>0.375</v>
      </c>
      <c r="AT112" s="10">
        <f>AG112/28</f>
        <v>0.42857142857142855</v>
      </c>
      <c r="AU112" s="10">
        <f>AVERAGE(AP112:AT112)*2</f>
        <v>0.52142857142857146</v>
      </c>
      <c r="AV112" s="11">
        <f>Y112/776.02</f>
        <v>5.0255686149515404E-3</v>
      </c>
      <c r="AW112" s="11">
        <f>Z112/639.8</f>
        <v>2.1412941544232578E-3</v>
      </c>
      <c r="AX112" s="11">
        <f>AA112/804.19</f>
        <v>1.633597364625863E-2</v>
      </c>
      <c r="AY112" s="11">
        <f>AB112</f>
        <v>0.02</v>
      </c>
      <c r="AZ112" s="11">
        <f>AC112</f>
        <v>0.02</v>
      </c>
      <c r="BA112" s="11">
        <f>AD112</f>
        <v>0.02</v>
      </c>
      <c r="BB112" s="10">
        <f>AVERAGE(AV112:BA112)*2</f>
        <v>2.7834278805211148E-2</v>
      </c>
      <c r="BC112" s="10">
        <f>AVERAGE(AK112,AO112,AU112,BB112)</f>
        <v>0.3475243872440737</v>
      </c>
    </row>
    <row r="113" spans="1:47" x14ac:dyDescent="0.3">
      <c r="A113" s="2" t="s">
        <v>385</v>
      </c>
      <c r="B113" s="2" t="s">
        <v>70</v>
      </c>
      <c r="C113" s="2" t="s">
        <v>80</v>
      </c>
      <c r="D113" s="2" t="s">
        <v>80</v>
      </c>
      <c r="E113" s="3" t="s">
        <v>80</v>
      </c>
      <c r="F113" s="3" t="s">
        <v>662</v>
      </c>
      <c r="G113" s="2" t="s">
        <v>651</v>
      </c>
      <c r="H113" s="2" t="s">
        <v>886</v>
      </c>
      <c r="I113" s="2" t="s">
        <v>74</v>
      </c>
      <c r="J113" s="2">
        <v>2</v>
      </c>
      <c r="N113" s="4" t="s">
        <v>662</v>
      </c>
      <c r="P113" s="4" t="s">
        <v>662</v>
      </c>
      <c r="T113" s="2" t="s">
        <v>724</v>
      </c>
      <c r="U113" s="2" t="s">
        <v>725</v>
      </c>
      <c r="V113" s="5" t="s">
        <v>662</v>
      </c>
      <c r="W113" s="5" t="s">
        <v>662</v>
      </c>
      <c r="Y113" s="5" t="s">
        <v>662</v>
      </c>
      <c r="Z113" s="5" t="s">
        <v>662</v>
      </c>
      <c r="AB113" s="5" t="s">
        <v>662</v>
      </c>
      <c r="AC113" s="5" t="s">
        <v>662</v>
      </c>
      <c r="AE113" s="2" t="s">
        <v>754</v>
      </c>
      <c r="AF113" s="2">
        <v>5</v>
      </c>
      <c r="AG113" s="2">
        <v>4</v>
      </c>
      <c r="AH113" s="8">
        <v>0.55454338984147156</v>
      </c>
      <c r="AI113" s="8">
        <v>1</v>
      </c>
      <c r="AJ113" s="8">
        <v>0.25839987353262284</v>
      </c>
      <c r="AK113" s="8">
        <f>AVERAGE(AH113:AJ113)</f>
        <v>0.60431442112469813</v>
      </c>
      <c r="AP113" s="10">
        <v>1</v>
      </c>
      <c r="AQ113" s="10">
        <v>0</v>
      </c>
      <c r="AR113" s="10">
        <v>0</v>
      </c>
      <c r="AS113" s="10">
        <f>AF113/32</f>
        <v>0.15625</v>
      </c>
      <c r="AT113" s="10">
        <f>AG113/28</f>
        <v>0.14285714285714285</v>
      </c>
      <c r="AU113" s="10">
        <f>AVERAGE(AP113:AT113)*2</f>
        <v>0.51964285714285707</v>
      </c>
    </row>
    <row r="114" spans="1:47" x14ac:dyDescent="0.3">
      <c r="A114" s="2" t="s">
        <v>494</v>
      </c>
      <c r="B114" s="2" t="s">
        <v>167</v>
      </c>
      <c r="C114" s="2" t="s">
        <v>100</v>
      </c>
      <c r="D114" s="2" t="s">
        <v>100</v>
      </c>
      <c r="E114" s="2" t="s">
        <v>263</v>
      </c>
      <c r="F114" s="2" t="s">
        <v>100</v>
      </c>
      <c r="G114" s="2" t="s">
        <v>656</v>
      </c>
      <c r="H114" s="2" t="s">
        <v>886</v>
      </c>
      <c r="I114" s="2" t="s">
        <v>179</v>
      </c>
      <c r="J114" s="2">
        <v>2</v>
      </c>
      <c r="N114" s="4" t="s">
        <v>662</v>
      </c>
      <c r="P114" s="4" t="s">
        <v>662</v>
      </c>
      <c r="T114" s="2" t="s">
        <v>724</v>
      </c>
      <c r="U114" s="2" t="s">
        <v>725</v>
      </c>
      <c r="V114" s="5" t="s">
        <v>662</v>
      </c>
      <c r="W114" s="5" t="s">
        <v>662</v>
      </c>
      <c r="Y114" s="5" t="s">
        <v>662</v>
      </c>
      <c r="Z114" s="5" t="s">
        <v>662</v>
      </c>
      <c r="AB114" s="5" t="s">
        <v>662</v>
      </c>
      <c r="AC114" s="5" t="s">
        <v>662</v>
      </c>
      <c r="AE114" s="2">
        <v>2016</v>
      </c>
      <c r="AF114" s="2">
        <v>4</v>
      </c>
      <c r="AG114" s="2">
        <v>4</v>
      </c>
      <c r="AH114" s="8">
        <v>0.76178517239119503</v>
      </c>
      <c r="AI114" s="8">
        <v>0.94932554956396598</v>
      </c>
      <c r="AJ114" s="8">
        <v>0.49023354707970596</v>
      </c>
      <c r="AK114" s="8">
        <f>AVERAGE(AH114:AJ114)</f>
        <v>0.7337814230116223</v>
      </c>
      <c r="AP114" s="10">
        <v>1</v>
      </c>
      <c r="AQ114" s="10">
        <v>0</v>
      </c>
      <c r="AR114" s="10">
        <v>0</v>
      </c>
      <c r="AS114" s="10">
        <f>AF114/32</f>
        <v>0.125</v>
      </c>
      <c r="AT114" s="10">
        <f>AG114/28</f>
        <v>0.14285714285714285</v>
      </c>
      <c r="AU114" s="10">
        <f>AVERAGE(AP114:AT114)*2</f>
        <v>0.50714285714285712</v>
      </c>
    </row>
    <row r="115" spans="1:47" x14ac:dyDescent="0.3">
      <c r="A115" s="2" t="s">
        <v>531</v>
      </c>
      <c r="B115" s="2" t="s">
        <v>186</v>
      </c>
      <c r="C115" s="2" t="s">
        <v>187</v>
      </c>
      <c r="D115" s="2" t="s">
        <v>197</v>
      </c>
      <c r="E115" s="2" t="s">
        <v>197</v>
      </c>
      <c r="F115" s="2" t="s">
        <v>197</v>
      </c>
      <c r="G115" s="2" t="s">
        <v>654</v>
      </c>
      <c r="H115" s="2" t="s">
        <v>888</v>
      </c>
      <c r="I115" s="2" t="s">
        <v>187</v>
      </c>
      <c r="J115" s="2">
        <v>3</v>
      </c>
      <c r="N115" s="4" t="s">
        <v>662</v>
      </c>
      <c r="P115" s="4" t="s">
        <v>662</v>
      </c>
      <c r="T115" s="2" t="s">
        <v>724</v>
      </c>
      <c r="U115" s="2" t="s">
        <v>725</v>
      </c>
      <c r="V115" s="5" t="s">
        <v>662</v>
      </c>
      <c r="W115" s="5" t="s">
        <v>662</v>
      </c>
      <c r="Y115" s="5" t="s">
        <v>662</v>
      </c>
      <c r="Z115" s="5" t="s">
        <v>662</v>
      </c>
      <c r="AB115" s="5" t="s">
        <v>662</v>
      </c>
      <c r="AC115" s="5" t="s">
        <v>662</v>
      </c>
      <c r="AE115" s="2">
        <v>2004</v>
      </c>
      <c r="AF115" s="2">
        <v>4</v>
      </c>
      <c r="AG115" s="2">
        <v>4</v>
      </c>
      <c r="AH115" s="8">
        <v>0.81738888297660883</v>
      </c>
      <c r="AI115" s="8">
        <v>0.91564081130263053</v>
      </c>
      <c r="AJ115" s="8">
        <v>0.40230944003452002</v>
      </c>
      <c r="AK115" s="8">
        <f>AVERAGE(AH115:AJ115)</f>
        <v>0.71177971143791974</v>
      </c>
      <c r="AP115" s="10">
        <v>1</v>
      </c>
      <c r="AQ115" s="10">
        <v>0</v>
      </c>
      <c r="AR115" s="10">
        <v>0</v>
      </c>
      <c r="AS115" s="10">
        <f>AF115/32</f>
        <v>0.125</v>
      </c>
      <c r="AT115" s="10">
        <f>AG115/28</f>
        <v>0.14285714285714285</v>
      </c>
      <c r="AU115" s="10">
        <f>AVERAGE(AP115:AT115)*2</f>
        <v>0.50714285714285712</v>
      </c>
    </row>
    <row r="116" spans="1:47" x14ac:dyDescent="0.3">
      <c r="A116" s="2" t="s">
        <v>493</v>
      </c>
      <c r="B116" s="2" t="s">
        <v>167</v>
      </c>
      <c r="C116" s="2" t="s">
        <v>179</v>
      </c>
      <c r="D116" s="2" t="s">
        <v>179</v>
      </c>
      <c r="E116" s="2" t="s">
        <v>174</v>
      </c>
      <c r="F116" s="2" t="s">
        <v>179</v>
      </c>
      <c r="G116" s="2" t="s">
        <v>653</v>
      </c>
      <c r="H116" s="2" t="s">
        <v>884</v>
      </c>
      <c r="I116" s="2" t="s">
        <v>179</v>
      </c>
      <c r="J116" s="2">
        <v>1</v>
      </c>
      <c r="N116" s="4" t="s">
        <v>662</v>
      </c>
      <c r="P116" s="4" t="s">
        <v>662</v>
      </c>
      <c r="T116" s="2" t="s">
        <v>723</v>
      </c>
      <c r="U116" s="2" t="s">
        <v>725</v>
      </c>
      <c r="V116" s="5" t="s">
        <v>662</v>
      </c>
      <c r="W116" s="5" t="s">
        <v>662</v>
      </c>
      <c r="Y116" s="5" t="s">
        <v>662</v>
      </c>
      <c r="Z116" s="5" t="s">
        <v>662</v>
      </c>
      <c r="AB116" s="5" t="s">
        <v>662</v>
      </c>
      <c r="AC116" s="5" t="s">
        <v>662</v>
      </c>
      <c r="AE116" s="2" t="s">
        <v>703</v>
      </c>
      <c r="AF116" s="2">
        <v>12</v>
      </c>
      <c r="AG116" s="2">
        <v>8</v>
      </c>
      <c r="AH116" s="8">
        <v>0.68222815633791845</v>
      </c>
      <c r="AI116" s="8">
        <v>0.9957020113973295</v>
      </c>
      <c r="AJ116" s="8">
        <v>0.35238872613505479</v>
      </c>
      <c r="AK116" s="8">
        <f>AVERAGE(AH116:AJ116)</f>
        <v>0.67677296462343417</v>
      </c>
      <c r="AP116" s="10">
        <v>0.25</v>
      </c>
      <c r="AQ116" s="10">
        <v>0</v>
      </c>
      <c r="AR116" s="10">
        <v>0.25</v>
      </c>
      <c r="AS116" s="10">
        <f>AF116/32</f>
        <v>0.375</v>
      </c>
      <c r="AT116" s="10">
        <f>AG116/28</f>
        <v>0.2857142857142857</v>
      </c>
      <c r="AU116" s="10">
        <f>AVERAGE(AP116:AT116)*2</f>
        <v>0.46428571428571425</v>
      </c>
    </row>
    <row r="117" spans="1:47" x14ac:dyDescent="0.3">
      <c r="A117" s="2" t="s">
        <v>463</v>
      </c>
      <c r="B117" s="2" t="s">
        <v>146</v>
      </c>
      <c r="C117" s="2" t="s">
        <v>150</v>
      </c>
      <c r="D117" s="2" t="s">
        <v>150</v>
      </c>
      <c r="E117" s="2" t="s">
        <v>150</v>
      </c>
      <c r="F117" s="2" t="s">
        <v>150</v>
      </c>
      <c r="G117" s="2" t="s">
        <v>651</v>
      </c>
      <c r="H117" s="2" t="s">
        <v>886</v>
      </c>
      <c r="I117" s="2" t="s">
        <v>155</v>
      </c>
      <c r="J117" s="2">
        <v>2</v>
      </c>
      <c r="K117" s="9">
        <v>0.43664383991223532</v>
      </c>
      <c r="L117" s="9">
        <v>0.29082018857108854</v>
      </c>
      <c r="M117" s="9">
        <v>0.48767512172180699</v>
      </c>
      <c r="N117" s="4">
        <v>1776</v>
      </c>
      <c r="O117" s="6">
        <f>N117/474667</f>
        <v>3.7415704062005576E-3</v>
      </c>
      <c r="P117" s="4">
        <v>1776</v>
      </c>
      <c r="Q117" s="6">
        <f>O117</f>
        <v>3.7415704062005576E-3</v>
      </c>
      <c r="R117" s="4">
        <v>1776</v>
      </c>
      <c r="S117" s="6">
        <v>3.7415704062005576E-3</v>
      </c>
      <c r="T117" s="2" t="s">
        <v>723</v>
      </c>
      <c r="U117" s="2" t="s">
        <v>725</v>
      </c>
      <c r="V117" s="5" t="s">
        <v>662</v>
      </c>
      <c r="W117" s="5" t="s">
        <v>662</v>
      </c>
      <c r="Y117" s="5" t="s">
        <v>662</v>
      </c>
      <c r="Z117" s="5" t="s">
        <v>662</v>
      </c>
      <c r="AB117" s="5" t="s">
        <v>662</v>
      </c>
      <c r="AC117" s="5" t="s">
        <v>662</v>
      </c>
      <c r="AE117" s="2" t="s">
        <v>710</v>
      </c>
      <c r="AF117" s="2">
        <v>12</v>
      </c>
      <c r="AG117" s="2">
        <v>8</v>
      </c>
      <c r="AH117" s="8">
        <f>K117</f>
        <v>0.43664383991223532</v>
      </c>
      <c r="AI117" s="8">
        <f>L117</f>
        <v>0.29082018857108854</v>
      </c>
      <c r="AJ117" s="8">
        <f>M117</f>
        <v>0.48767512172180699</v>
      </c>
      <c r="AK117" s="8">
        <f>AVERAGE(AH117:AJ117)</f>
        <v>0.40504638340171023</v>
      </c>
      <c r="AL117" s="11">
        <f>(O117/12.69)*100</f>
        <v>2.9484400364070591E-2</v>
      </c>
      <c r="AM117" s="11">
        <f>(Q117/9.99)*100</f>
        <v>3.7453157219224799E-2</v>
      </c>
      <c r="AN117" s="11">
        <f>(S117/12.69)*100</f>
        <v>2.9484400364070591E-2</v>
      </c>
      <c r="AO117" s="11">
        <f>AVERAGE(AL117:AN117)</f>
        <v>3.2140652649121991E-2</v>
      </c>
      <c r="AP117" s="10">
        <v>0.25</v>
      </c>
      <c r="AQ117" s="10">
        <v>0</v>
      </c>
      <c r="AR117" s="10">
        <v>0.25</v>
      </c>
      <c r="AS117" s="10">
        <f>AF117/32</f>
        <v>0.375</v>
      </c>
      <c r="AT117" s="10">
        <f>AG117/28</f>
        <v>0.2857142857142857</v>
      </c>
      <c r="AU117" s="10">
        <f>AVERAGE(AP117:AT117)*2</f>
        <v>0.46428571428571425</v>
      </c>
    </row>
    <row r="118" spans="1:47" x14ac:dyDescent="0.3">
      <c r="A118" s="2" t="s">
        <v>344</v>
      </c>
      <c r="B118" s="2" t="s">
        <v>41</v>
      </c>
      <c r="C118" s="2" t="s">
        <v>48</v>
      </c>
      <c r="D118" s="2" t="s">
        <v>48</v>
      </c>
      <c r="E118" s="3" t="s">
        <v>48</v>
      </c>
      <c r="F118" s="3" t="s">
        <v>48</v>
      </c>
      <c r="G118" s="2" t="s">
        <v>651</v>
      </c>
      <c r="H118" s="2" t="s">
        <v>886</v>
      </c>
      <c r="I118" s="2" t="s">
        <v>44</v>
      </c>
      <c r="J118" s="2">
        <v>3</v>
      </c>
      <c r="T118" s="2" t="s">
        <v>723</v>
      </c>
      <c r="U118" s="2" t="s">
        <v>725</v>
      </c>
      <c r="AE118" s="2" t="s">
        <v>686</v>
      </c>
      <c r="AF118" s="2">
        <v>12</v>
      </c>
      <c r="AG118" s="2">
        <v>12</v>
      </c>
      <c r="AH118" s="8">
        <v>0.62083912994411317</v>
      </c>
      <c r="AI118" s="8">
        <v>0.35276975895242113</v>
      </c>
      <c r="AJ118" s="8">
        <v>0.61418887565213809</v>
      </c>
      <c r="AK118" s="8">
        <f>AVERAGE(AH118:AJ118)</f>
        <v>0.5292659215162242</v>
      </c>
      <c r="AP118" s="10">
        <v>0.25</v>
      </c>
      <c r="AQ118" s="10">
        <v>0</v>
      </c>
      <c r="AR118" s="10">
        <v>0</v>
      </c>
      <c r="AS118" s="10">
        <f>AF118/32</f>
        <v>0.375</v>
      </c>
      <c r="AT118" s="10">
        <f>AG118/28</f>
        <v>0.42857142857142855</v>
      </c>
      <c r="AU118" s="10">
        <f>AVERAGE(AP118:AT118)*2</f>
        <v>0.42142857142857143</v>
      </c>
    </row>
    <row r="119" spans="1:47" x14ac:dyDescent="0.3">
      <c r="A119" s="2" t="s">
        <v>342</v>
      </c>
      <c r="B119" s="2" t="s">
        <v>41</v>
      </c>
      <c r="C119" s="2" t="s">
        <v>46</v>
      </c>
      <c r="D119" s="2" t="s">
        <v>46</v>
      </c>
      <c r="E119" s="3" t="s">
        <v>835</v>
      </c>
      <c r="F119" s="3" t="s">
        <v>46</v>
      </c>
      <c r="G119" s="2" t="s">
        <v>656</v>
      </c>
      <c r="H119" s="2" t="s">
        <v>886</v>
      </c>
      <c r="I119" s="2" t="s">
        <v>44</v>
      </c>
      <c r="J119" s="2">
        <v>2</v>
      </c>
      <c r="K119" s="9">
        <v>0.46879959894562151</v>
      </c>
      <c r="L119" s="9">
        <v>0.25826849770870386</v>
      </c>
      <c r="M119" s="9">
        <v>0.40822055084927561</v>
      </c>
      <c r="N119" s="4">
        <v>200</v>
      </c>
      <c r="O119" s="6">
        <f>N119/269435</f>
        <v>7.4229405979178654E-4</v>
      </c>
      <c r="P119" s="4">
        <v>140</v>
      </c>
      <c r="Q119" s="6">
        <f>P119/269435</f>
        <v>5.1960584185425061E-4</v>
      </c>
      <c r="R119" s="4">
        <v>200</v>
      </c>
      <c r="S119" s="6">
        <v>7.4229405979178654E-4</v>
      </c>
      <c r="T119" s="2" t="s">
        <v>723</v>
      </c>
      <c r="U119" s="2" t="s">
        <v>725</v>
      </c>
      <c r="V119" s="5" t="s">
        <v>662</v>
      </c>
      <c r="W119" s="5" t="s">
        <v>662</v>
      </c>
      <c r="Y119" s="5" t="s">
        <v>662</v>
      </c>
      <c r="Z119" s="5" t="s">
        <v>662</v>
      </c>
      <c r="AB119" s="6" t="s">
        <v>662</v>
      </c>
      <c r="AC119" s="6" t="s">
        <v>662</v>
      </c>
      <c r="AE119" s="2" t="s">
        <v>694</v>
      </c>
      <c r="AF119" s="2">
        <v>12</v>
      </c>
      <c r="AG119" s="2">
        <v>12</v>
      </c>
      <c r="AH119" s="8">
        <f>K119</f>
        <v>0.46879959894562151</v>
      </c>
      <c r="AI119" s="8">
        <f>L119</f>
        <v>0.25826849770870386</v>
      </c>
      <c r="AJ119" s="8">
        <f>M119</f>
        <v>0.40822055084927561</v>
      </c>
      <c r="AK119" s="8">
        <f>AVERAGE(AH119:AJ119)</f>
        <v>0.37842954916786703</v>
      </c>
      <c r="AL119" s="11">
        <f>(O119/12.69)*100</f>
        <v>5.8494409755065922E-3</v>
      </c>
      <c r="AM119" s="11">
        <f>(Q119/9.99)*100</f>
        <v>5.2012596782207267E-3</v>
      </c>
      <c r="AN119" s="11">
        <f>(S119/12.69)*100</f>
        <v>5.8494409755065922E-3</v>
      </c>
      <c r="AO119" s="11">
        <f>AVERAGE(AL119:AN119)</f>
        <v>5.6333805430779709E-3</v>
      </c>
      <c r="AP119" s="10">
        <v>0.25</v>
      </c>
      <c r="AQ119" s="10">
        <v>0</v>
      </c>
      <c r="AR119" s="10">
        <v>0</v>
      </c>
      <c r="AS119" s="10">
        <f>AF119/32</f>
        <v>0.375</v>
      </c>
      <c r="AT119" s="10">
        <f>AG119/28</f>
        <v>0.42857142857142855</v>
      </c>
      <c r="AU119" s="10">
        <f>AVERAGE(AP119:AT119)*2</f>
        <v>0.42142857142857143</v>
      </c>
    </row>
    <row r="120" spans="1:47" x14ac:dyDescent="0.3">
      <c r="A120" s="2" t="s">
        <v>458</v>
      </c>
      <c r="B120" s="2" t="s">
        <v>146</v>
      </c>
      <c r="C120" s="2" t="s">
        <v>155</v>
      </c>
      <c r="D120" s="2" t="s">
        <v>147</v>
      </c>
      <c r="E120" s="2" t="s">
        <v>147</v>
      </c>
      <c r="F120" s="2" t="s">
        <v>662</v>
      </c>
      <c r="G120" s="2" t="s">
        <v>655</v>
      </c>
      <c r="H120" s="2" t="s">
        <v>888</v>
      </c>
      <c r="I120" s="2" t="s">
        <v>155</v>
      </c>
      <c r="J120" s="2">
        <v>3</v>
      </c>
      <c r="T120" s="2" t="s">
        <v>723</v>
      </c>
      <c r="U120" s="2" t="s">
        <v>725</v>
      </c>
      <c r="AE120" s="2" t="s">
        <v>680</v>
      </c>
      <c r="AF120" s="2">
        <v>12</v>
      </c>
      <c r="AG120" s="2">
        <v>12</v>
      </c>
      <c r="AH120" s="8">
        <v>0.59740000000000004</v>
      </c>
      <c r="AI120" s="8">
        <v>0.997</v>
      </c>
      <c r="AJ120" s="8">
        <v>0.18329999999999999</v>
      </c>
      <c r="AK120" s="8">
        <f>AVERAGE(AH120:AJ120)</f>
        <v>0.59256666666666669</v>
      </c>
      <c r="AP120" s="10">
        <v>0.25</v>
      </c>
      <c r="AQ120" s="10">
        <v>0</v>
      </c>
      <c r="AR120" s="10">
        <v>0</v>
      </c>
      <c r="AS120" s="10">
        <f>AF120/32</f>
        <v>0.375</v>
      </c>
      <c r="AT120" s="10">
        <f>AG120/28</f>
        <v>0.42857142857142855</v>
      </c>
      <c r="AU120" s="10">
        <f>AVERAGE(AP120:AT120)*2</f>
        <v>0.42142857142857143</v>
      </c>
    </row>
    <row r="121" spans="1:47" x14ac:dyDescent="0.3">
      <c r="A121" s="2" t="s">
        <v>480</v>
      </c>
      <c r="B121" s="2" t="s">
        <v>161</v>
      </c>
      <c r="C121" s="2" t="s">
        <v>162</v>
      </c>
      <c r="D121" s="2" t="s">
        <v>162</v>
      </c>
      <c r="E121" s="2" t="s">
        <v>162</v>
      </c>
      <c r="F121" s="2" t="s">
        <v>162</v>
      </c>
      <c r="G121" s="2" t="s">
        <v>656</v>
      </c>
      <c r="H121" s="2" t="s">
        <v>885</v>
      </c>
      <c r="I121" s="2" t="s">
        <v>50</v>
      </c>
      <c r="J121" s="2">
        <v>2</v>
      </c>
      <c r="K121" s="9">
        <v>0.60407390469189459</v>
      </c>
      <c r="L121" s="9">
        <v>0.80014018167194079</v>
      </c>
      <c r="M121" s="9">
        <v>0.22743790164456434</v>
      </c>
      <c r="N121" s="4">
        <v>777</v>
      </c>
      <c r="O121" s="6">
        <f>N121/428527</f>
        <v>1.8131879671525947E-3</v>
      </c>
      <c r="P121" s="4">
        <v>732</v>
      </c>
      <c r="Q121" s="6">
        <f>P121/428527</f>
        <v>1.7081770810240661E-3</v>
      </c>
      <c r="R121" s="4">
        <v>1135</v>
      </c>
      <c r="S121" s="6">
        <f>R121/381594</f>
        <v>2.9743654250328883E-3</v>
      </c>
      <c r="T121" s="2" t="s">
        <v>723</v>
      </c>
      <c r="U121" s="2" t="s">
        <v>725</v>
      </c>
      <c r="V121" s="5" t="s">
        <v>662</v>
      </c>
      <c r="W121" s="5" t="s">
        <v>662</v>
      </c>
      <c r="Y121" s="5" t="s">
        <v>662</v>
      </c>
      <c r="Z121" s="5" t="s">
        <v>662</v>
      </c>
      <c r="AB121" s="5" t="s">
        <v>662</v>
      </c>
      <c r="AC121" s="5" t="s">
        <v>662</v>
      </c>
      <c r="AE121" s="2" t="s">
        <v>682</v>
      </c>
      <c r="AF121" s="2">
        <v>8</v>
      </c>
      <c r="AG121" s="2">
        <v>8</v>
      </c>
      <c r="AH121" s="8">
        <f>K121</f>
        <v>0.60407390469189459</v>
      </c>
      <c r="AI121" s="8">
        <f>L121</f>
        <v>0.80014018167194079</v>
      </c>
      <c r="AJ121" s="8">
        <f>M121</f>
        <v>0.22743790164456434</v>
      </c>
      <c r="AK121" s="8">
        <f>AVERAGE(AH121:AJ121)</f>
        <v>0.54388399600279991</v>
      </c>
      <c r="AL121" s="11">
        <f>(O121/12.69)*100</f>
        <v>1.4288321254157563E-2</v>
      </c>
      <c r="AM121" s="11">
        <f>(Q121/9.99)*100</f>
        <v>1.7098869679920581E-2</v>
      </c>
      <c r="AN121" s="11">
        <f>(S121/12.69)*100</f>
        <v>2.3438655831622447E-2</v>
      </c>
      <c r="AO121" s="11">
        <f>AVERAGE(AL121:AN121)</f>
        <v>1.8275282255233529E-2</v>
      </c>
      <c r="AP121" s="10">
        <v>0.25</v>
      </c>
      <c r="AQ121" s="10">
        <v>0</v>
      </c>
      <c r="AR121" s="10">
        <v>0.25</v>
      </c>
      <c r="AS121" s="10">
        <f>AF121/32</f>
        <v>0.25</v>
      </c>
      <c r="AT121" s="10">
        <f>AG121/28</f>
        <v>0.2857142857142857</v>
      </c>
      <c r="AU121" s="10">
        <f>AVERAGE(AP121:AT121)*2</f>
        <v>0.41428571428571426</v>
      </c>
    </row>
    <row r="122" spans="1:47" x14ac:dyDescent="0.3">
      <c r="A122" s="2" t="s">
        <v>580</v>
      </c>
      <c r="B122" s="2" t="s">
        <v>201</v>
      </c>
      <c r="C122" s="2" t="s">
        <v>210</v>
      </c>
      <c r="D122" s="2" t="s">
        <v>231</v>
      </c>
      <c r="E122" s="2" t="s">
        <v>231</v>
      </c>
      <c r="F122" s="2" t="s">
        <v>662</v>
      </c>
      <c r="G122" s="2" t="s">
        <v>655</v>
      </c>
      <c r="H122" s="2" t="s">
        <v>888</v>
      </c>
      <c r="I122" s="2" t="s">
        <v>210</v>
      </c>
      <c r="J122" s="2">
        <v>3</v>
      </c>
      <c r="N122" s="4" t="s">
        <v>662</v>
      </c>
      <c r="P122" s="4" t="s">
        <v>662</v>
      </c>
      <c r="T122" s="2" t="s">
        <v>723</v>
      </c>
      <c r="U122" s="2" t="s">
        <v>725</v>
      </c>
      <c r="V122" s="5" t="s">
        <v>662</v>
      </c>
      <c r="W122" s="5" t="s">
        <v>662</v>
      </c>
      <c r="Y122" s="5" t="s">
        <v>662</v>
      </c>
      <c r="Z122" s="5" t="s">
        <v>662</v>
      </c>
      <c r="AB122" s="5" t="s">
        <v>662</v>
      </c>
      <c r="AC122" s="5" t="s">
        <v>662</v>
      </c>
      <c r="AE122" s="2" t="s">
        <v>678</v>
      </c>
      <c r="AF122" s="2">
        <v>8</v>
      </c>
      <c r="AG122" s="2">
        <v>8</v>
      </c>
      <c r="AH122" s="8">
        <v>0.73054455277460439</v>
      </c>
      <c r="AI122" s="8">
        <v>0.99101534754561227</v>
      </c>
      <c r="AJ122" s="8">
        <v>0.24954244321440586</v>
      </c>
      <c r="AK122" s="8">
        <f>AVERAGE(AH122:AJ122)</f>
        <v>0.65703411451154081</v>
      </c>
      <c r="AP122" s="10">
        <v>0.25</v>
      </c>
      <c r="AQ122" s="10">
        <v>0</v>
      </c>
      <c r="AR122" s="10">
        <v>0.25</v>
      </c>
      <c r="AS122" s="10">
        <f>AF122/32</f>
        <v>0.25</v>
      </c>
      <c r="AT122" s="10">
        <f>AG122/28</f>
        <v>0.2857142857142857</v>
      </c>
      <c r="AU122" s="10">
        <f>AVERAGE(AP122:AT122)*2</f>
        <v>0.41428571428571426</v>
      </c>
    </row>
    <row r="123" spans="1:47" x14ac:dyDescent="0.3">
      <c r="A123" s="2" t="s">
        <v>391</v>
      </c>
      <c r="B123" s="2" t="s">
        <v>70</v>
      </c>
      <c r="C123" s="2" t="s">
        <v>87</v>
      </c>
      <c r="D123" s="2" t="s">
        <v>87</v>
      </c>
      <c r="E123" s="3" t="s">
        <v>87</v>
      </c>
      <c r="F123" s="3" t="s">
        <v>87</v>
      </c>
      <c r="G123" s="2" t="s">
        <v>656</v>
      </c>
      <c r="H123" s="2" t="s">
        <v>886</v>
      </c>
      <c r="I123" s="2" t="s">
        <v>74</v>
      </c>
      <c r="J123" s="2">
        <v>2</v>
      </c>
      <c r="T123" s="2" t="s">
        <v>723</v>
      </c>
      <c r="U123" s="2" t="s">
        <v>725</v>
      </c>
      <c r="AE123" s="2" t="s">
        <v>734</v>
      </c>
      <c r="AF123" s="2">
        <v>6</v>
      </c>
      <c r="AG123" s="2">
        <v>4</v>
      </c>
      <c r="AH123" s="8">
        <v>0.61656927008958629</v>
      </c>
      <c r="AI123" s="8">
        <v>1</v>
      </c>
      <c r="AJ123" s="8">
        <v>0.27972069340923533</v>
      </c>
      <c r="AK123" s="8">
        <f>AVERAGE(AH123:AJ123)</f>
        <v>0.63209665449960728</v>
      </c>
      <c r="AP123" s="10">
        <v>0.25</v>
      </c>
      <c r="AQ123" s="10">
        <v>0</v>
      </c>
      <c r="AR123" s="10">
        <v>0.25</v>
      </c>
      <c r="AS123" s="10">
        <f>AF123/32</f>
        <v>0.1875</v>
      </c>
      <c r="AT123" s="10">
        <f>AG123/28</f>
        <v>0.14285714285714285</v>
      </c>
      <c r="AU123" s="10">
        <f>AVERAGE(AP123:AT123)*2</f>
        <v>0.33214285714285713</v>
      </c>
    </row>
    <row r="124" spans="1:47" x14ac:dyDescent="0.3">
      <c r="A124" s="2" t="s">
        <v>563</v>
      </c>
      <c r="B124" s="2" t="s">
        <v>201</v>
      </c>
      <c r="C124" s="2" t="s">
        <v>249</v>
      </c>
      <c r="D124" s="2" t="s">
        <v>249</v>
      </c>
      <c r="E124" s="2" t="s">
        <v>219</v>
      </c>
      <c r="F124" s="2" t="s">
        <v>249</v>
      </c>
      <c r="G124" s="2" t="s">
        <v>657</v>
      </c>
      <c r="H124" s="2" t="s">
        <v>884</v>
      </c>
      <c r="I124" s="2" t="s">
        <v>249</v>
      </c>
      <c r="J124" s="2">
        <v>1</v>
      </c>
      <c r="N124" s="4" t="s">
        <v>662</v>
      </c>
      <c r="P124" s="4" t="s">
        <v>662</v>
      </c>
      <c r="T124" s="2" t="s">
        <v>723</v>
      </c>
      <c r="U124" s="2" t="s">
        <v>725</v>
      </c>
      <c r="V124" s="5" t="s">
        <v>662</v>
      </c>
      <c r="W124" s="5" t="s">
        <v>662</v>
      </c>
      <c r="Y124" s="5" t="s">
        <v>662</v>
      </c>
      <c r="Z124" s="5" t="s">
        <v>662</v>
      </c>
      <c r="AB124" s="5" t="s">
        <v>662</v>
      </c>
      <c r="AC124" s="5" t="s">
        <v>662</v>
      </c>
      <c r="AE124" s="2" t="s">
        <v>682</v>
      </c>
      <c r="AF124" s="2">
        <v>8</v>
      </c>
      <c r="AG124" s="2">
        <v>8</v>
      </c>
      <c r="AH124" s="8">
        <v>0.41860794780398403</v>
      </c>
      <c r="AI124" s="8">
        <v>0.8231552727571394</v>
      </c>
      <c r="AJ124" s="8">
        <v>0.36015428675610056</v>
      </c>
      <c r="AK124" s="8">
        <f>AVERAGE(AH124:AJ124)</f>
        <v>0.53397250243907457</v>
      </c>
      <c r="AP124" s="10">
        <v>0.25</v>
      </c>
      <c r="AQ124" s="10">
        <v>0</v>
      </c>
      <c r="AR124" s="10">
        <v>0</v>
      </c>
      <c r="AS124" s="10">
        <f>AF124/32</f>
        <v>0.25</v>
      </c>
      <c r="AT124" s="10">
        <f>AG124/28</f>
        <v>0.2857142857142857</v>
      </c>
      <c r="AU124" s="10">
        <f>AVERAGE(AP124:AT124)*2</f>
        <v>0.31428571428571428</v>
      </c>
    </row>
    <row r="125" spans="1:47" x14ac:dyDescent="0.3">
      <c r="A125" s="2" t="s">
        <v>399</v>
      </c>
      <c r="B125" s="2" t="s">
        <v>70</v>
      </c>
      <c r="C125" s="2" t="s">
        <v>92</v>
      </c>
      <c r="D125" s="2" t="s">
        <v>92</v>
      </c>
      <c r="E125" s="3" t="s">
        <v>92</v>
      </c>
      <c r="F125" s="3" t="s">
        <v>662</v>
      </c>
      <c r="G125" s="2" t="s">
        <v>654</v>
      </c>
      <c r="H125" s="2" t="s">
        <v>888</v>
      </c>
      <c r="I125" s="2" t="s">
        <v>102</v>
      </c>
      <c r="J125" s="2">
        <v>3</v>
      </c>
      <c r="T125" s="2" t="s">
        <v>723</v>
      </c>
      <c r="U125" s="2" t="s">
        <v>725</v>
      </c>
      <c r="AE125" s="2" t="s">
        <v>681</v>
      </c>
      <c r="AF125" s="2">
        <v>8</v>
      </c>
      <c r="AG125" s="2">
        <v>4</v>
      </c>
      <c r="AH125" s="8">
        <v>0.7109003938224645</v>
      </c>
      <c r="AI125" s="8">
        <v>0.99313614718138288</v>
      </c>
      <c r="AJ125" s="8">
        <v>0.23198340761057717</v>
      </c>
      <c r="AK125" s="8">
        <f>AVERAGE(AH125:AJ125)</f>
        <v>0.64533998287147487</v>
      </c>
      <c r="AP125" s="10">
        <v>0.25</v>
      </c>
      <c r="AQ125" s="10">
        <v>0</v>
      </c>
      <c r="AR125" s="10">
        <v>0</v>
      </c>
      <c r="AS125" s="10">
        <f>AF125/32</f>
        <v>0.25</v>
      </c>
      <c r="AT125" s="10">
        <f>AG125/28</f>
        <v>0.14285714285714285</v>
      </c>
      <c r="AU125" s="10">
        <f>AVERAGE(AP125:AT125)*2</f>
        <v>0.25714285714285712</v>
      </c>
    </row>
    <row r="126" spans="1:47" x14ac:dyDescent="0.3">
      <c r="A126" s="2" t="s">
        <v>611</v>
      </c>
      <c r="B126" s="2" t="s">
        <v>201</v>
      </c>
      <c r="C126" s="2" t="s">
        <v>248</v>
      </c>
      <c r="D126" s="2" t="s">
        <v>632</v>
      </c>
      <c r="E126" s="2" t="s">
        <v>846</v>
      </c>
      <c r="F126" s="2" t="s">
        <v>632</v>
      </c>
      <c r="G126" s="2" t="s">
        <v>655</v>
      </c>
      <c r="H126" s="2" t="s">
        <v>888</v>
      </c>
      <c r="I126" s="2" t="s">
        <v>248</v>
      </c>
      <c r="J126" s="2">
        <v>3</v>
      </c>
      <c r="T126" s="2" t="s">
        <v>723</v>
      </c>
      <c r="U126" s="2" t="s">
        <v>725</v>
      </c>
      <c r="AE126" s="2" t="s">
        <v>727</v>
      </c>
      <c r="AF126" s="2">
        <v>7</v>
      </c>
      <c r="AG126" s="2">
        <v>4</v>
      </c>
      <c r="AH126" s="8">
        <v>0.58811929679704589</v>
      </c>
      <c r="AI126" s="8">
        <v>1</v>
      </c>
      <c r="AJ126" s="8">
        <v>0.30107728169573889</v>
      </c>
      <c r="AK126" s="8">
        <f>AVERAGE(AH126:AJ126)</f>
        <v>0.62973219283092829</v>
      </c>
      <c r="AP126" s="10">
        <v>0.25</v>
      </c>
      <c r="AQ126" s="10">
        <v>0</v>
      </c>
      <c r="AR126" s="10">
        <v>0</v>
      </c>
      <c r="AS126" s="10">
        <f>AF126/32</f>
        <v>0.21875</v>
      </c>
      <c r="AT126" s="10">
        <f>AG126/28</f>
        <v>0.14285714285714285</v>
      </c>
      <c r="AU126" s="10">
        <f>AVERAGE(AP126:AT126)*2</f>
        <v>0.24464285714285711</v>
      </c>
    </row>
    <row r="127" spans="1:47" x14ac:dyDescent="0.3">
      <c r="A127" s="2" t="s">
        <v>479</v>
      </c>
      <c r="B127" s="2" t="s">
        <v>161</v>
      </c>
      <c r="C127" s="2" t="s">
        <v>164</v>
      </c>
      <c r="D127" s="2" t="s">
        <v>164</v>
      </c>
      <c r="E127" s="2" t="s">
        <v>164</v>
      </c>
      <c r="F127" s="2" t="s">
        <v>662</v>
      </c>
      <c r="G127" s="2" t="s">
        <v>651</v>
      </c>
      <c r="H127" s="2" t="s">
        <v>886</v>
      </c>
      <c r="I127" s="2" t="s">
        <v>162</v>
      </c>
      <c r="J127" s="2">
        <v>3</v>
      </c>
      <c r="T127" s="2" t="s">
        <v>723</v>
      </c>
      <c r="U127" s="2" t="s">
        <v>725</v>
      </c>
      <c r="AE127" s="2">
        <v>2004</v>
      </c>
      <c r="AF127" s="2">
        <v>4</v>
      </c>
      <c r="AG127" s="2">
        <v>4</v>
      </c>
      <c r="AH127" s="8">
        <v>0.7323374562358399</v>
      </c>
      <c r="AI127" s="8">
        <v>0.92453364375530767</v>
      </c>
      <c r="AJ127" s="8">
        <v>0.54975645799557504</v>
      </c>
      <c r="AK127" s="8">
        <f>AVERAGE(AH127:AJ127)</f>
        <v>0.73554251932890757</v>
      </c>
      <c r="AP127" s="10">
        <v>0.25</v>
      </c>
      <c r="AQ127" s="10">
        <v>0</v>
      </c>
      <c r="AR127" s="10">
        <v>0</v>
      </c>
      <c r="AS127" s="10">
        <f>AF127/32</f>
        <v>0.125</v>
      </c>
      <c r="AT127" s="10">
        <f>AG127/28</f>
        <v>0.14285714285714285</v>
      </c>
      <c r="AU127" s="10">
        <f>AVERAGE(AP127:AT127)*2</f>
        <v>0.20714285714285713</v>
      </c>
    </row>
    <row r="128" spans="1:47" x14ac:dyDescent="0.3">
      <c r="A128" s="2" t="s">
        <v>443</v>
      </c>
      <c r="B128" s="2" t="s">
        <v>131</v>
      </c>
      <c r="C128" s="2" t="s">
        <v>135</v>
      </c>
      <c r="D128" s="2" t="s">
        <v>135</v>
      </c>
      <c r="E128" s="2" t="s">
        <v>135</v>
      </c>
      <c r="F128" s="2" t="s">
        <v>135</v>
      </c>
      <c r="G128" s="2" t="s">
        <v>656</v>
      </c>
      <c r="H128" s="2" t="s">
        <v>886</v>
      </c>
      <c r="I128" s="2" t="s">
        <v>136</v>
      </c>
      <c r="J128" s="2">
        <v>2</v>
      </c>
      <c r="T128" s="2" t="s">
        <v>723</v>
      </c>
      <c r="U128" s="2" t="s">
        <v>722</v>
      </c>
      <c r="AE128" s="2">
        <v>2004</v>
      </c>
      <c r="AF128" s="2">
        <v>4</v>
      </c>
      <c r="AG128" s="2">
        <v>4</v>
      </c>
      <c r="AH128" s="8">
        <v>0.43930000000000002</v>
      </c>
      <c r="AI128" s="8">
        <v>0.16980000000000001</v>
      </c>
      <c r="AJ128" s="8">
        <v>0.26200000000000001</v>
      </c>
      <c r="AK128" s="8">
        <f>AVERAGE(AH128:AJ128)</f>
        <v>0.29036666666666666</v>
      </c>
      <c r="AP128" s="10">
        <v>0.25</v>
      </c>
      <c r="AQ128" s="10">
        <v>0</v>
      </c>
      <c r="AR128" s="10">
        <v>0</v>
      </c>
      <c r="AS128" s="10">
        <f>AF128/32</f>
        <v>0.125</v>
      </c>
      <c r="AT128" s="10">
        <f>AG128/28</f>
        <v>0.14285714285714285</v>
      </c>
      <c r="AU128" s="10">
        <f>AVERAGE(AP128:AT128)*2</f>
        <v>0.20714285714285713</v>
      </c>
    </row>
    <row r="129" spans="1:47" x14ac:dyDescent="0.3">
      <c r="A129" s="2" t="s">
        <v>331</v>
      </c>
      <c r="B129" s="2" t="s">
        <v>27</v>
      </c>
      <c r="C129" s="2" t="s">
        <v>620</v>
      </c>
      <c r="D129" s="2" t="s">
        <v>623</v>
      </c>
      <c r="E129" s="2" t="s">
        <v>840</v>
      </c>
      <c r="F129" s="2" t="s">
        <v>662</v>
      </c>
      <c r="G129" s="2" t="s">
        <v>654</v>
      </c>
      <c r="H129" s="2" t="s">
        <v>888</v>
      </c>
      <c r="I129" s="2" t="s">
        <v>30</v>
      </c>
      <c r="J129" s="2">
        <v>3</v>
      </c>
      <c r="N129" s="4" t="s">
        <v>662</v>
      </c>
      <c r="P129" s="4" t="s">
        <v>662</v>
      </c>
      <c r="T129" s="4" t="s">
        <v>723</v>
      </c>
      <c r="U129" s="2" t="s">
        <v>725</v>
      </c>
      <c r="V129" s="5" t="s">
        <v>662</v>
      </c>
      <c r="W129" s="5" t="s">
        <v>662</v>
      </c>
      <c r="Y129" s="5" t="s">
        <v>662</v>
      </c>
      <c r="Z129" s="5" t="s">
        <v>662</v>
      </c>
      <c r="AB129" s="5" t="s">
        <v>662</v>
      </c>
      <c r="AC129" s="5" t="s">
        <v>662</v>
      </c>
      <c r="AE129" s="2">
        <v>2020</v>
      </c>
      <c r="AF129" s="2">
        <v>4</v>
      </c>
      <c r="AG129" s="2">
        <v>4</v>
      </c>
      <c r="AH129" s="8">
        <v>0.30589673577133636</v>
      </c>
      <c r="AI129" s="8">
        <v>0.35569036700949502</v>
      </c>
      <c r="AJ129" s="8">
        <v>0.4223026785850077</v>
      </c>
      <c r="AK129" s="8">
        <f>AVERAGE(AH129:AJ129)</f>
        <v>0.36129659378861301</v>
      </c>
      <c r="AP129" s="10">
        <v>0.25</v>
      </c>
      <c r="AQ129" s="10">
        <v>0</v>
      </c>
      <c r="AR129" s="10">
        <v>0</v>
      </c>
      <c r="AS129" s="10">
        <f>AF129/32</f>
        <v>0.125</v>
      </c>
      <c r="AT129" s="10">
        <f>AG129/28</f>
        <v>0.14285714285714285</v>
      </c>
      <c r="AU129" s="10">
        <f>AVERAGE(AP129:AT129)*2</f>
        <v>0.20714285714285713</v>
      </c>
    </row>
    <row r="130" spans="1:47" x14ac:dyDescent="0.3">
      <c r="A130" s="2" t="s">
        <v>557</v>
      </c>
      <c r="B130" s="2" t="s">
        <v>201</v>
      </c>
      <c r="C130" s="2" t="s">
        <v>249</v>
      </c>
      <c r="D130" s="2" t="s">
        <v>249</v>
      </c>
      <c r="E130" s="2" t="s">
        <v>217</v>
      </c>
      <c r="F130" s="2" t="s">
        <v>249</v>
      </c>
      <c r="G130" s="2" t="s">
        <v>657</v>
      </c>
      <c r="H130" s="2" t="s">
        <v>884</v>
      </c>
      <c r="I130" s="2" t="s">
        <v>249</v>
      </c>
      <c r="J130" s="2">
        <v>1</v>
      </c>
      <c r="AE130" s="2" t="s">
        <v>682</v>
      </c>
      <c r="AF130" s="2">
        <v>8</v>
      </c>
      <c r="AG130" s="2">
        <v>8</v>
      </c>
      <c r="AH130" s="8">
        <v>0.82265452326620769</v>
      </c>
      <c r="AI130" s="8">
        <v>0.91634751784305002</v>
      </c>
      <c r="AJ130" s="8">
        <v>0.84554347767194571</v>
      </c>
      <c r="AK130" s="8">
        <f>AVERAGE(AH130:AJ130)</f>
        <v>0.8615151729270677</v>
      </c>
      <c r="AS130" s="10">
        <f>AF130/32</f>
        <v>0.25</v>
      </c>
      <c r="AT130" s="10">
        <f>AG130/28</f>
        <v>0.2857142857142857</v>
      </c>
    </row>
    <row r="131" spans="1:47" x14ac:dyDescent="0.3">
      <c r="A131" s="2" t="s">
        <v>320</v>
      </c>
      <c r="B131" s="2" t="s">
        <v>27</v>
      </c>
      <c r="C131" s="2" t="s">
        <v>36</v>
      </c>
      <c r="D131" s="2" t="s">
        <v>36</v>
      </c>
      <c r="E131" s="3" t="s">
        <v>29</v>
      </c>
      <c r="F131" s="3" t="s">
        <v>36</v>
      </c>
      <c r="G131" s="2" t="s">
        <v>653</v>
      </c>
      <c r="H131" s="2" t="s">
        <v>884</v>
      </c>
      <c r="I131" s="2" t="s">
        <v>36</v>
      </c>
      <c r="J131" s="2">
        <v>1</v>
      </c>
      <c r="AE131" s="2">
        <v>2008</v>
      </c>
      <c r="AF131" s="2">
        <v>4</v>
      </c>
      <c r="AG131" s="2">
        <v>4</v>
      </c>
      <c r="AH131" s="8">
        <v>0.76117415300804525</v>
      </c>
      <c r="AI131" s="8">
        <v>1</v>
      </c>
      <c r="AJ131" s="8">
        <v>0.62210658774881056</v>
      </c>
      <c r="AK131" s="8">
        <f>AVERAGE(AH131:AJ131)</f>
        <v>0.79442691358561868</v>
      </c>
      <c r="AS131" s="10">
        <f>AF131/32</f>
        <v>0.125</v>
      </c>
      <c r="AT131" s="10">
        <f>AG131/28</f>
        <v>0.14285714285714285</v>
      </c>
    </row>
    <row r="132" spans="1:47" x14ac:dyDescent="0.3">
      <c r="A132" s="2" t="s">
        <v>510</v>
      </c>
      <c r="B132" s="2" t="s">
        <v>167</v>
      </c>
      <c r="C132" s="2" t="s">
        <v>179</v>
      </c>
      <c r="D132" s="2" t="s">
        <v>643</v>
      </c>
      <c r="E132" s="2" t="s">
        <v>844</v>
      </c>
      <c r="F132" s="2" t="s">
        <v>179</v>
      </c>
      <c r="G132" s="2" t="s">
        <v>653</v>
      </c>
      <c r="H132" s="2" t="s">
        <v>884</v>
      </c>
      <c r="I132" s="2" t="s">
        <v>179</v>
      </c>
      <c r="J132" s="2">
        <v>1</v>
      </c>
      <c r="AE132" s="2">
        <v>2008</v>
      </c>
      <c r="AF132" s="2">
        <v>4</v>
      </c>
      <c r="AG132" s="2">
        <v>4</v>
      </c>
      <c r="AH132" s="8">
        <v>0.7203519973435546</v>
      </c>
      <c r="AI132" s="8">
        <v>0.9201050942858684</v>
      </c>
      <c r="AJ132" s="8">
        <v>0.61596375149161586</v>
      </c>
      <c r="AK132" s="8">
        <f>AVERAGE(AH132:AJ132)</f>
        <v>0.75214028104034636</v>
      </c>
      <c r="AS132" s="10">
        <f>AF132/32</f>
        <v>0.125</v>
      </c>
      <c r="AT132" s="10">
        <f>AG132/28</f>
        <v>0.14285714285714285</v>
      </c>
    </row>
    <row r="133" spans="1:47" x14ac:dyDescent="0.3">
      <c r="A133" s="2" t="s">
        <v>533</v>
      </c>
      <c r="B133" s="2" t="s">
        <v>186</v>
      </c>
      <c r="C133" s="2" t="s">
        <v>192</v>
      </c>
      <c r="D133" s="2" t="s">
        <v>192</v>
      </c>
      <c r="E133" s="2" t="s">
        <v>198</v>
      </c>
      <c r="F133" s="2" t="s">
        <v>192</v>
      </c>
      <c r="G133" s="2" t="s">
        <v>653</v>
      </c>
      <c r="H133" s="2" t="s">
        <v>884</v>
      </c>
      <c r="I133" s="2" t="s">
        <v>192</v>
      </c>
      <c r="J133" s="2">
        <v>1</v>
      </c>
      <c r="AE133" s="2" t="s">
        <v>679</v>
      </c>
      <c r="AF133" s="2">
        <v>8</v>
      </c>
      <c r="AG133" s="2">
        <v>8</v>
      </c>
      <c r="AH133" s="8">
        <v>0.70517530601028167</v>
      </c>
      <c r="AI133" s="8">
        <v>1</v>
      </c>
      <c r="AJ133" s="8">
        <v>0.50750243676646511</v>
      </c>
      <c r="AK133" s="8">
        <f>AVERAGE(AH133:AJ133)</f>
        <v>0.737559247592249</v>
      </c>
      <c r="AS133" s="10">
        <f>AF133/32</f>
        <v>0.25</v>
      </c>
      <c r="AT133" s="10">
        <f>AG133/28</f>
        <v>0.2857142857142857</v>
      </c>
    </row>
    <row r="134" spans="1:47" x14ac:dyDescent="0.3">
      <c r="A134" s="2">
        <v>2602902</v>
      </c>
      <c r="B134" s="2" t="s">
        <v>117</v>
      </c>
      <c r="C134" s="2" t="s">
        <v>124</v>
      </c>
      <c r="D134" s="2" t="s">
        <v>124</v>
      </c>
      <c r="E134" s="2" t="s">
        <v>118</v>
      </c>
      <c r="F134" s="2" t="s">
        <v>124</v>
      </c>
      <c r="G134" s="2" t="s">
        <v>653</v>
      </c>
      <c r="H134" s="2" t="s">
        <v>884</v>
      </c>
      <c r="I134" s="2" t="s">
        <v>124</v>
      </c>
      <c r="J134" s="2">
        <v>1</v>
      </c>
      <c r="AE134" s="2" t="s">
        <v>697</v>
      </c>
      <c r="AF134" s="2">
        <v>16</v>
      </c>
      <c r="AG134" s="2">
        <v>8</v>
      </c>
      <c r="AH134" s="8">
        <v>0.63382244702907065</v>
      </c>
      <c r="AI134" s="8">
        <v>1</v>
      </c>
      <c r="AJ134" s="8">
        <v>0.57259051063759647</v>
      </c>
      <c r="AK134" s="8">
        <f>AVERAGE(AH134:AJ134)</f>
        <v>0.73547098588888904</v>
      </c>
      <c r="AS134" s="10">
        <f>AF134/32</f>
        <v>0.5</v>
      </c>
      <c r="AT134" s="10">
        <f>AG134/28</f>
        <v>0.2857142857142857</v>
      </c>
    </row>
    <row r="135" spans="1:47" x14ac:dyDescent="0.3">
      <c r="A135" s="2" t="s">
        <v>418</v>
      </c>
      <c r="B135" s="2" t="s">
        <v>108</v>
      </c>
      <c r="C135" s="2" t="s">
        <v>110</v>
      </c>
      <c r="D135" s="2" t="s">
        <v>110</v>
      </c>
      <c r="E135" s="2" t="s">
        <v>109</v>
      </c>
      <c r="F135" s="2" t="s">
        <v>110</v>
      </c>
      <c r="G135" s="2" t="s">
        <v>653</v>
      </c>
      <c r="H135" s="2" t="s">
        <v>884</v>
      </c>
      <c r="I135" s="2" t="s">
        <v>110</v>
      </c>
      <c r="J135" s="2">
        <v>2</v>
      </c>
      <c r="AE135" s="2">
        <v>2004</v>
      </c>
      <c r="AF135" s="2">
        <v>4</v>
      </c>
      <c r="AG135" s="2">
        <v>4</v>
      </c>
      <c r="AH135" s="8">
        <v>0.76247581639448803</v>
      </c>
      <c r="AI135" s="8">
        <v>0.72141393989817226</v>
      </c>
      <c r="AJ135" s="8">
        <v>0.71009419831717246</v>
      </c>
      <c r="AK135" s="8">
        <f>AVERAGE(AH135:AJ135)</f>
        <v>0.73132798486994421</v>
      </c>
      <c r="AS135" s="10">
        <f>AF135/32</f>
        <v>0.125</v>
      </c>
      <c r="AT135" s="10">
        <f>AG135/28</f>
        <v>0.14285714285714285</v>
      </c>
    </row>
    <row r="136" spans="1:47" x14ac:dyDescent="0.3">
      <c r="A136" s="2" t="s">
        <v>610</v>
      </c>
      <c r="B136" s="2" t="s">
        <v>201</v>
      </c>
      <c r="C136" s="2" t="s">
        <v>249</v>
      </c>
      <c r="D136" s="2" t="s">
        <v>249</v>
      </c>
      <c r="E136" s="2" t="s">
        <v>254</v>
      </c>
      <c r="F136" s="2" t="s">
        <v>249</v>
      </c>
      <c r="G136" s="2" t="s">
        <v>657</v>
      </c>
      <c r="H136" s="2" t="s">
        <v>884</v>
      </c>
      <c r="I136" s="2" t="s">
        <v>249</v>
      </c>
      <c r="J136" s="2">
        <v>1</v>
      </c>
      <c r="AE136" s="2" t="s">
        <v>682</v>
      </c>
      <c r="AF136" s="2">
        <v>8</v>
      </c>
      <c r="AG136" s="2">
        <v>8</v>
      </c>
      <c r="AH136" s="8">
        <v>0.70234752808172074</v>
      </c>
      <c r="AI136" s="8">
        <v>1</v>
      </c>
      <c r="AJ136" s="8">
        <v>0.46705608186935421</v>
      </c>
      <c r="AK136" s="8">
        <f>AVERAGE(AH136:AJ136)</f>
        <v>0.72313453665035832</v>
      </c>
      <c r="AS136" s="10">
        <f>AF136/32</f>
        <v>0.25</v>
      </c>
      <c r="AT136" s="10">
        <f>AG136/28</f>
        <v>0.2857142857142857</v>
      </c>
    </row>
    <row r="137" spans="1:47" x14ac:dyDescent="0.3">
      <c r="A137" s="2" t="s">
        <v>337</v>
      </c>
      <c r="B137" s="2" t="s">
        <v>41</v>
      </c>
      <c r="C137" s="2" t="s">
        <v>44</v>
      </c>
      <c r="D137" s="2" t="s">
        <v>44</v>
      </c>
      <c r="E137" s="2" t="s">
        <v>307</v>
      </c>
      <c r="F137" s="2" t="s">
        <v>44</v>
      </c>
      <c r="G137" s="2" t="s">
        <v>653</v>
      </c>
      <c r="H137" s="2" t="s">
        <v>884</v>
      </c>
      <c r="I137" s="2" t="s">
        <v>44</v>
      </c>
      <c r="J137" s="2">
        <v>1</v>
      </c>
      <c r="AH137" s="8">
        <v>0.61297770136366303</v>
      </c>
      <c r="AI137" s="8">
        <v>0.99407350283868756</v>
      </c>
      <c r="AJ137" s="8">
        <v>0.55889984732178077</v>
      </c>
      <c r="AK137" s="8">
        <f>AVERAGE(AH137:AJ137)</f>
        <v>0.72198368384137712</v>
      </c>
    </row>
    <row r="138" spans="1:47" x14ac:dyDescent="0.3">
      <c r="A138" s="2" t="s">
        <v>569</v>
      </c>
      <c r="B138" s="2" t="s">
        <v>201</v>
      </c>
      <c r="C138" s="2" t="s">
        <v>249</v>
      </c>
      <c r="D138" s="2" t="s">
        <v>249</v>
      </c>
      <c r="E138" s="2" t="s">
        <v>223</v>
      </c>
      <c r="F138" s="2" t="s">
        <v>249</v>
      </c>
      <c r="G138" s="2" t="s">
        <v>657</v>
      </c>
      <c r="H138" s="2" t="s">
        <v>884</v>
      </c>
      <c r="I138" s="2" t="s">
        <v>249</v>
      </c>
      <c r="J138" s="2">
        <v>1</v>
      </c>
      <c r="AE138" s="2" t="s">
        <v>678</v>
      </c>
      <c r="AF138" s="2">
        <v>8</v>
      </c>
      <c r="AG138" s="2">
        <v>8</v>
      </c>
      <c r="AH138" s="8">
        <v>0.70467775213691841</v>
      </c>
      <c r="AI138" s="8">
        <v>0.95754673121180378</v>
      </c>
      <c r="AJ138" s="8">
        <v>0.48469258655834496</v>
      </c>
      <c r="AK138" s="8">
        <f>AVERAGE(AH138:AJ138)</f>
        <v>0.71563902330235563</v>
      </c>
      <c r="AS138" s="10">
        <f>AF138/32</f>
        <v>0.25</v>
      </c>
      <c r="AT138" s="10">
        <f>AG138/28</f>
        <v>0.2857142857142857</v>
      </c>
    </row>
    <row r="139" spans="1:47" x14ac:dyDescent="0.3">
      <c r="A139" s="2" t="s">
        <v>576</v>
      </c>
      <c r="B139" s="2" t="s">
        <v>201</v>
      </c>
      <c r="C139" s="2" t="s">
        <v>249</v>
      </c>
      <c r="D139" s="2" t="s">
        <v>249</v>
      </c>
      <c r="E139" s="2" t="s">
        <v>228</v>
      </c>
      <c r="F139" s="2" t="s">
        <v>249</v>
      </c>
      <c r="G139" s="2" t="s">
        <v>657</v>
      </c>
      <c r="H139" s="2" t="s">
        <v>884</v>
      </c>
      <c r="I139" s="2" t="s">
        <v>249</v>
      </c>
      <c r="J139" s="2">
        <v>1</v>
      </c>
      <c r="AE139" s="2" t="s">
        <v>679</v>
      </c>
      <c r="AF139" s="2">
        <v>8</v>
      </c>
      <c r="AG139" s="2">
        <v>8</v>
      </c>
      <c r="AH139" s="8">
        <v>0.68065311193830846</v>
      </c>
      <c r="AI139" s="8">
        <v>1</v>
      </c>
      <c r="AJ139" s="8">
        <v>0.43634027523716773</v>
      </c>
      <c r="AK139" s="8">
        <f>AVERAGE(AH139:AJ139)</f>
        <v>0.70566446239182534</v>
      </c>
      <c r="AS139" s="10">
        <f>AF139/32</f>
        <v>0.25</v>
      </c>
      <c r="AT139" s="10">
        <f>AG139/28</f>
        <v>0.2857142857142857</v>
      </c>
    </row>
    <row r="140" spans="1:47" x14ac:dyDescent="0.3">
      <c r="A140" s="2" t="s">
        <v>431</v>
      </c>
      <c r="B140" s="2" t="s">
        <v>117</v>
      </c>
      <c r="C140" s="2" t="s">
        <v>124</v>
      </c>
      <c r="D140" s="2" t="s">
        <v>124</v>
      </c>
      <c r="E140" s="2" t="s">
        <v>122</v>
      </c>
      <c r="F140" s="2" t="s">
        <v>124</v>
      </c>
      <c r="G140" s="2" t="s">
        <v>653</v>
      </c>
      <c r="H140" s="2" t="s">
        <v>884</v>
      </c>
      <c r="I140" s="2" t="s">
        <v>124</v>
      </c>
      <c r="J140" s="2">
        <v>1</v>
      </c>
      <c r="N140" s="4" t="s">
        <v>662</v>
      </c>
      <c r="P140" s="4" t="s">
        <v>662</v>
      </c>
      <c r="T140" s="4" t="s">
        <v>662</v>
      </c>
      <c r="U140" s="2" t="s">
        <v>725</v>
      </c>
      <c r="V140" s="5" t="s">
        <v>662</v>
      </c>
      <c r="W140" s="5" t="s">
        <v>662</v>
      </c>
      <c r="Y140" s="5" t="s">
        <v>662</v>
      </c>
      <c r="Z140" s="5" t="s">
        <v>662</v>
      </c>
      <c r="AB140" s="5" t="s">
        <v>662</v>
      </c>
      <c r="AC140" s="5" t="s">
        <v>662</v>
      </c>
      <c r="AE140" s="2" t="s">
        <v>678</v>
      </c>
      <c r="AF140" s="2">
        <v>8</v>
      </c>
      <c r="AG140" s="2">
        <v>8</v>
      </c>
      <c r="AH140" s="8">
        <v>0.63364660751386437</v>
      </c>
      <c r="AI140" s="8">
        <v>1</v>
      </c>
      <c r="AJ140" s="8">
        <v>0.47365617330296234</v>
      </c>
      <c r="AK140" s="8">
        <f>AVERAGE(AH140:AJ140)</f>
        <v>0.70243426027227551</v>
      </c>
      <c r="AQ140" s="10">
        <v>0</v>
      </c>
      <c r="AR140" s="10">
        <v>0</v>
      </c>
      <c r="AS140" s="10">
        <f>AF140/32</f>
        <v>0.25</v>
      </c>
      <c r="AT140" s="10">
        <f>AG140/28</f>
        <v>0.2857142857142857</v>
      </c>
    </row>
    <row r="141" spans="1:47" x14ac:dyDescent="0.3">
      <c r="A141" s="2" t="s">
        <v>553</v>
      </c>
      <c r="B141" s="2" t="s">
        <v>201</v>
      </c>
      <c r="C141" s="2" t="s">
        <v>249</v>
      </c>
      <c r="D141" s="2" t="s">
        <v>249</v>
      </c>
      <c r="E141" s="2" t="s">
        <v>214</v>
      </c>
      <c r="F141" s="2" t="s">
        <v>249</v>
      </c>
      <c r="G141" s="2" t="s">
        <v>657</v>
      </c>
      <c r="H141" s="2" t="s">
        <v>884</v>
      </c>
      <c r="I141" s="2" t="s">
        <v>249</v>
      </c>
      <c r="J141" s="2">
        <v>1</v>
      </c>
      <c r="AE141" s="2" t="s">
        <v>681</v>
      </c>
      <c r="AF141" s="2">
        <v>8</v>
      </c>
      <c r="AG141" s="2">
        <v>4</v>
      </c>
      <c r="AH141" s="8">
        <v>0.53538390190250162</v>
      </c>
      <c r="AI141" s="8">
        <v>1</v>
      </c>
      <c r="AJ141" s="8">
        <v>0.51781557958907798</v>
      </c>
      <c r="AK141" s="8">
        <f>AVERAGE(AH141:AJ141)</f>
        <v>0.68439982716385972</v>
      </c>
      <c r="AS141" s="10">
        <f>AF141/32</f>
        <v>0.25</v>
      </c>
      <c r="AT141" s="10">
        <f>AG141/28</f>
        <v>0.14285714285714285</v>
      </c>
    </row>
    <row r="142" spans="1:47" x14ac:dyDescent="0.3">
      <c r="A142" s="2" t="s">
        <v>395</v>
      </c>
      <c r="B142" s="2" t="s">
        <v>70</v>
      </c>
      <c r="C142" s="2" t="s">
        <v>74</v>
      </c>
      <c r="D142" s="2" t="s">
        <v>74</v>
      </c>
      <c r="E142" s="2" t="s">
        <v>837</v>
      </c>
      <c r="F142" s="2" t="s">
        <v>74</v>
      </c>
      <c r="G142" s="2" t="s">
        <v>653</v>
      </c>
      <c r="H142" s="2" t="s">
        <v>884</v>
      </c>
      <c r="I142" s="2" t="s">
        <v>74</v>
      </c>
      <c r="J142" s="2">
        <v>1</v>
      </c>
      <c r="N142" s="4" t="s">
        <v>662</v>
      </c>
      <c r="P142" s="4" t="s">
        <v>662</v>
      </c>
      <c r="T142" s="2" t="s">
        <v>662</v>
      </c>
      <c r="U142" s="2" t="s">
        <v>662</v>
      </c>
      <c r="V142" s="2" t="s">
        <v>662</v>
      </c>
      <c r="W142" s="2" t="s">
        <v>662</v>
      </c>
      <c r="X142" s="2"/>
      <c r="Y142" s="2" t="s">
        <v>662</v>
      </c>
      <c r="Z142" s="2" t="s">
        <v>662</v>
      </c>
      <c r="AA142" s="2"/>
      <c r="AB142" s="2" t="s">
        <v>662</v>
      </c>
      <c r="AC142" s="2" t="s">
        <v>662</v>
      </c>
      <c r="AE142" s="2">
        <v>0</v>
      </c>
      <c r="AF142" s="2">
        <v>0</v>
      </c>
      <c r="AG142" s="4">
        <v>0</v>
      </c>
      <c r="AH142" s="8">
        <v>0.61311903583675709</v>
      </c>
      <c r="AI142" s="8">
        <v>1</v>
      </c>
      <c r="AJ142" s="8">
        <v>0.40840758446511793</v>
      </c>
      <c r="AK142" s="8">
        <f>AVERAGE(AH142:AJ142)</f>
        <v>0.67384220676729167</v>
      </c>
      <c r="AT142" s="10">
        <f>AG142/28</f>
        <v>0</v>
      </c>
    </row>
    <row r="143" spans="1:47" x14ac:dyDescent="0.3">
      <c r="A143" s="2" t="s">
        <v>343</v>
      </c>
      <c r="B143" s="2" t="s">
        <v>41</v>
      </c>
      <c r="C143" s="2" t="s">
        <v>44</v>
      </c>
      <c r="D143" s="2" t="s">
        <v>44</v>
      </c>
      <c r="E143" s="3" t="s">
        <v>47</v>
      </c>
      <c r="F143" s="3" t="s">
        <v>44</v>
      </c>
      <c r="G143" s="2" t="s">
        <v>653</v>
      </c>
      <c r="H143" s="2" t="s">
        <v>884</v>
      </c>
      <c r="I143" s="2" t="s">
        <v>44</v>
      </c>
      <c r="J143" s="2">
        <v>1</v>
      </c>
      <c r="AE143" s="2">
        <v>2004</v>
      </c>
      <c r="AF143" s="2">
        <v>4</v>
      </c>
      <c r="AG143" s="2">
        <v>4</v>
      </c>
      <c r="AH143" s="8">
        <v>0.61911738497895552</v>
      </c>
      <c r="AI143" s="8">
        <v>0.96875982797575133</v>
      </c>
      <c r="AJ143" s="8">
        <v>0.37980752186355221</v>
      </c>
      <c r="AK143" s="8">
        <f>AVERAGE(AH143:AJ143)</f>
        <v>0.65589491160608637</v>
      </c>
      <c r="AS143" s="10">
        <f>AF143/32</f>
        <v>0.125</v>
      </c>
      <c r="AT143" s="10">
        <f>AG143/28</f>
        <v>0.14285714285714285</v>
      </c>
    </row>
    <row r="144" spans="1:47" x14ac:dyDescent="0.3">
      <c r="A144" s="2" t="s">
        <v>582</v>
      </c>
      <c r="B144" s="2" t="s">
        <v>201</v>
      </c>
      <c r="C144" s="2" t="s">
        <v>249</v>
      </c>
      <c r="D144" s="2" t="s">
        <v>249</v>
      </c>
      <c r="E144" s="2" t="s">
        <v>233</v>
      </c>
      <c r="F144" s="2" t="s">
        <v>665</v>
      </c>
      <c r="G144" s="2" t="s">
        <v>657</v>
      </c>
      <c r="H144" s="2" t="s">
        <v>884</v>
      </c>
      <c r="I144" s="2" t="s">
        <v>249</v>
      </c>
      <c r="J144" s="2">
        <v>1</v>
      </c>
      <c r="AE144" s="2" t="s">
        <v>843</v>
      </c>
      <c r="AF144" s="2">
        <v>8</v>
      </c>
      <c r="AG144" s="2">
        <v>4</v>
      </c>
      <c r="AH144" s="8">
        <v>0.62811800684577523</v>
      </c>
      <c r="AI144" s="8">
        <v>1</v>
      </c>
      <c r="AJ144" s="8">
        <v>0.31936530867247459</v>
      </c>
      <c r="AK144" s="8">
        <f>AVERAGE(AH144:AJ144)</f>
        <v>0.64916110517274994</v>
      </c>
      <c r="AS144" s="10">
        <f>AF144/32</f>
        <v>0.25</v>
      </c>
      <c r="AT144" s="10">
        <f>AG144/28</f>
        <v>0.14285714285714285</v>
      </c>
    </row>
    <row r="145" spans="1:46" x14ac:dyDescent="0.3">
      <c r="A145" s="2" t="s">
        <v>376</v>
      </c>
      <c r="B145" s="2" t="s">
        <v>70</v>
      </c>
      <c r="C145" s="2" t="s">
        <v>74</v>
      </c>
      <c r="D145" s="2" t="s">
        <v>74</v>
      </c>
      <c r="E145" s="3" t="s">
        <v>833</v>
      </c>
      <c r="F145" s="3" t="s">
        <v>74</v>
      </c>
      <c r="G145" s="2" t="s">
        <v>653</v>
      </c>
      <c r="H145" s="2" t="s">
        <v>884</v>
      </c>
      <c r="I145" s="2" t="s">
        <v>74</v>
      </c>
      <c r="J145" s="2">
        <v>1</v>
      </c>
      <c r="N145" s="4" t="s">
        <v>662</v>
      </c>
      <c r="P145" s="4" t="s">
        <v>662</v>
      </c>
      <c r="T145" s="4" t="s">
        <v>662</v>
      </c>
      <c r="U145" s="2" t="s">
        <v>725</v>
      </c>
      <c r="V145" s="5" t="s">
        <v>662</v>
      </c>
      <c r="W145" s="5" t="s">
        <v>662</v>
      </c>
      <c r="Y145" s="5" t="s">
        <v>662</v>
      </c>
      <c r="Z145" s="5" t="s">
        <v>662</v>
      </c>
      <c r="AB145" s="5" t="s">
        <v>662</v>
      </c>
      <c r="AC145" s="5" t="s">
        <v>662</v>
      </c>
      <c r="AE145" s="2" t="s">
        <v>683</v>
      </c>
      <c r="AF145" s="2">
        <v>20</v>
      </c>
      <c r="AG145" s="2">
        <v>20</v>
      </c>
      <c r="AH145" s="8">
        <v>0.57350780470480978</v>
      </c>
      <c r="AI145" s="8">
        <v>1</v>
      </c>
      <c r="AJ145" s="8">
        <v>0.35344592682563269</v>
      </c>
      <c r="AK145" s="8">
        <f>AVERAGE(AH145:AJ145)</f>
        <v>0.64231791051014742</v>
      </c>
      <c r="AQ145" s="10">
        <v>0</v>
      </c>
      <c r="AR145" s="10">
        <v>0</v>
      </c>
      <c r="AS145" s="10">
        <f>AF145/32</f>
        <v>0.625</v>
      </c>
      <c r="AT145" s="10">
        <f>AG145/28</f>
        <v>0.7142857142857143</v>
      </c>
    </row>
    <row r="146" spans="1:46" x14ac:dyDescent="0.3">
      <c r="A146" s="2" t="s">
        <v>404</v>
      </c>
      <c r="B146" s="2" t="s">
        <v>70</v>
      </c>
      <c r="C146" s="2" t="s">
        <v>74</v>
      </c>
      <c r="D146" s="2" t="s">
        <v>74</v>
      </c>
      <c r="E146" s="2" t="s">
        <v>271</v>
      </c>
      <c r="F146" s="2" t="s">
        <v>74</v>
      </c>
      <c r="G146" s="2" t="s">
        <v>653</v>
      </c>
      <c r="H146" s="2" t="s">
        <v>884</v>
      </c>
      <c r="I146" s="2" t="s">
        <v>74</v>
      </c>
      <c r="J146" s="2">
        <v>1</v>
      </c>
      <c r="AH146" s="8">
        <v>0.73544118549851156</v>
      </c>
      <c r="AI146" s="8">
        <v>0.66443083901644062</v>
      </c>
      <c r="AJ146" s="8">
        <v>0.51771399704955179</v>
      </c>
      <c r="AK146" s="8">
        <f>AVERAGE(AH146:AJ146)</f>
        <v>0.63919534052150129</v>
      </c>
    </row>
    <row r="147" spans="1:46" x14ac:dyDescent="0.3">
      <c r="A147" s="2" t="s">
        <v>473</v>
      </c>
      <c r="B147" s="2" t="s">
        <v>146</v>
      </c>
      <c r="C147" s="2" t="s">
        <v>155</v>
      </c>
      <c r="D147" s="2" t="s">
        <v>155</v>
      </c>
      <c r="E147" s="2" t="s">
        <v>279</v>
      </c>
      <c r="F147" s="2" t="s">
        <v>155</v>
      </c>
      <c r="G147" s="2" t="s">
        <v>658</v>
      </c>
      <c r="H147" s="2" t="s">
        <v>884</v>
      </c>
      <c r="I147" s="2" t="s">
        <v>155</v>
      </c>
      <c r="J147" s="2">
        <v>1</v>
      </c>
      <c r="N147" s="4" t="s">
        <v>662</v>
      </c>
      <c r="P147" s="4" t="s">
        <v>662</v>
      </c>
      <c r="T147" s="4" t="s">
        <v>662</v>
      </c>
      <c r="U147" s="4" t="s">
        <v>662</v>
      </c>
      <c r="V147" s="4" t="s">
        <v>662</v>
      </c>
      <c r="W147" s="4" t="s">
        <v>662</v>
      </c>
      <c r="X147" s="4"/>
      <c r="Y147" s="4" t="s">
        <v>662</v>
      </c>
      <c r="Z147" s="4" t="s">
        <v>662</v>
      </c>
      <c r="AB147" s="4" t="s">
        <v>662</v>
      </c>
      <c r="AC147" s="4" t="s">
        <v>662</v>
      </c>
      <c r="AE147" s="2">
        <v>0</v>
      </c>
      <c r="AF147" s="2">
        <v>0</v>
      </c>
      <c r="AG147" s="4">
        <v>0</v>
      </c>
      <c r="AH147" s="8">
        <v>0.64754253038891452</v>
      </c>
      <c r="AI147" s="8">
        <v>0.94865706143951489</v>
      </c>
      <c r="AJ147" s="8">
        <v>0.31108480437213099</v>
      </c>
      <c r="AK147" s="8">
        <f>AVERAGE(AH147:AJ147)</f>
        <v>0.63576146540018674</v>
      </c>
      <c r="AT147" s="10">
        <f>AG147/28</f>
        <v>0</v>
      </c>
    </row>
    <row r="148" spans="1:46" x14ac:dyDescent="0.3">
      <c r="A148" s="2" t="s">
        <v>433</v>
      </c>
      <c r="B148" s="2" t="s">
        <v>117</v>
      </c>
      <c r="C148" s="2" t="s">
        <v>124</v>
      </c>
      <c r="D148" s="2" t="s">
        <v>124</v>
      </c>
      <c r="E148" s="2" t="s">
        <v>123</v>
      </c>
      <c r="F148" s="2" t="s">
        <v>124</v>
      </c>
      <c r="G148" s="2" t="s">
        <v>653</v>
      </c>
      <c r="H148" s="2" t="s">
        <v>884</v>
      </c>
      <c r="I148" s="2" t="s">
        <v>124</v>
      </c>
      <c r="J148" s="2">
        <v>1</v>
      </c>
      <c r="N148" s="4" t="s">
        <v>662</v>
      </c>
      <c r="P148" s="4" t="s">
        <v>662</v>
      </c>
      <c r="T148" s="4" t="s">
        <v>662</v>
      </c>
      <c r="U148" s="4" t="s">
        <v>662</v>
      </c>
      <c r="V148" s="4" t="s">
        <v>662</v>
      </c>
      <c r="W148" s="4" t="s">
        <v>662</v>
      </c>
      <c r="X148" s="4"/>
      <c r="Y148" s="4" t="s">
        <v>662</v>
      </c>
      <c r="Z148" s="4" t="s">
        <v>662</v>
      </c>
      <c r="AB148" s="4" t="s">
        <v>662</v>
      </c>
      <c r="AC148" s="4" t="s">
        <v>662</v>
      </c>
      <c r="AE148" s="2">
        <v>2004</v>
      </c>
      <c r="AF148" s="2">
        <v>4</v>
      </c>
      <c r="AG148" s="2">
        <v>4</v>
      </c>
      <c r="AH148" s="8">
        <v>0.55517626136353693</v>
      </c>
      <c r="AI148" s="8">
        <v>0.82524613936166191</v>
      </c>
      <c r="AJ148" s="8">
        <v>0.46697028080869951</v>
      </c>
      <c r="AK148" s="8">
        <f>AVERAGE(AH148:AJ148)</f>
        <v>0.61579756051129941</v>
      </c>
      <c r="AS148" s="10">
        <f>AF148/32</f>
        <v>0.125</v>
      </c>
      <c r="AT148" s="10">
        <f>AG148/28</f>
        <v>0.14285714285714285</v>
      </c>
    </row>
    <row r="149" spans="1:46" x14ac:dyDescent="0.3">
      <c r="A149" s="2" t="s">
        <v>338</v>
      </c>
      <c r="B149" s="2" t="s">
        <v>41</v>
      </c>
      <c r="C149" s="2" t="s">
        <v>44</v>
      </c>
      <c r="D149" s="2" t="s">
        <v>44</v>
      </c>
      <c r="E149" s="3" t="s">
        <v>42</v>
      </c>
      <c r="F149" s="3" t="s">
        <v>44</v>
      </c>
      <c r="G149" s="2" t="s">
        <v>653</v>
      </c>
      <c r="H149" s="2" t="s">
        <v>884</v>
      </c>
      <c r="I149" s="2" t="s">
        <v>44</v>
      </c>
      <c r="J149" s="2">
        <v>1</v>
      </c>
      <c r="AE149" s="2">
        <v>2008</v>
      </c>
      <c r="AF149" s="2">
        <v>4</v>
      </c>
      <c r="AG149" s="2">
        <v>4</v>
      </c>
      <c r="AH149" s="8">
        <v>0.68820927142600408</v>
      </c>
      <c r="AI149" s="8">
        <v>0.4245320971707916</v>
      </c>
      <c r="AJ149" s="8">
        <v>0.72404656316391214</v>
      </c>
      <c r="AK149" s="8">
        <f>AVERAGE(AH149:AJ149)</f>
        <v>0.61226264392023599</v>
      </c>
      <c r="AS149" s="10">
        <f>AF149/32</f>
        <v>0.125</v>
      </c>
      <c r="AT149" s="10">
        <f>AG149/28</f>
        <v>0.14285714285714285</v>
      </c>
    </row>
    <row r="150" spans="1:46" x14ac:dyDescent="0.3">
      <c r="A150" s="2" t="s">
        <v>516</v>
      </c>
      <c r="B150" s="2" t="s">
        <v>167</v>
      </c>
      <c r="C150" s="2" t="s">
        <v>179</v>
      </c>
      <c r="D150" s="2" t="s">
        <v>179</v>
      </c>
      <c r="E150" s="2" t="s">
        <v>185</v>
      </c>
      <c r="F150" s="2" t="s">
        <v>179</v>
      </c>
      <c r="G150" s="2" t="s">
        <v>653</v>
      </c>
      <c r="H150" s="2" t="s">
        <v>884</v>
      </c>
      <c r="I150" s="2" t="s">
        <v>179</v>
      </c>
      <c r="J150" s="2">
        <v>1</v>
      </c>
      <c r="AE150" s="2" t="s">
        <v>691</v>
      </c>
      <c r="AF150" s="2">
        <v>12</v>
      </c>
      <c r="AG150" s="2">
        <v>8</v>
      </c>
      <c r="AH150" s="8">
        <v>0.73198036298478342</v>
      </c>
      <c r="AI150" s="8">
        <v>0.83779050852356474</v>
      </c>
      <c r="AJ150" s="8">
        <v>0.2568724688135342</v>
      </c>
      <c r="AK150" s="8">
        <f>AVERAGE(AH150:AJ150)</f>
        <v>0.60888111344062745</v>
      </c>
      <c r="AS150" s="10">
        <f>AF150/32</f>
        <v>0.375</v>
      </c>
      <c r="AT150" s="10">
        <f>AG150/28</f>
        <v>0.2857142857142857</v>
      </c>
    </row>
    <row r="151" spans="1:46" x14ac:dyDescent="0.3">
      <c r="A151" s="2" t="s">
        <v>403</v>
      </c>
      <c r="B151" s="2" t="s">
        <v>70</v>
      </c>
      <c r="C151" s="2" t="s">
        <v>74</v>
      </c>
      <c r="D151" s="2" t="s">
        <v>74</v>
      </c>
      <c r="E151" s="3" t="s">
        <v>96</v>
      </c>
      <c r="F151" s="3" t="s">
        <v>74</v>
      </c>
      <c r="G151" s="2" t="s">
        <v>653</v>
      </c>
      <c r="H151" s="2" t="s">
        <v>884</v>
      </c>
      <c r="I151" s="2" t="s">
        <v>74</v>
      </c>
      <c r="J151" s="2">
        <v>1</v>
      </c>
      <c r="AE151" s="2">
        <v>2004</v>
      </c>
      <c r="AF151" s="2">
        <v>4</v>
      </c>
      <c r="AG151" s="2">
        <v>4</v>
      </c>
      <c r="AH151" s="8">
        <v>0.52244304446999712</v>
      </c>
      <c r="AI151" s="8">
        <v>0.59301072791401677</v>
      </c>
      <c r="AJ151" s="8">
        <v>0.70953886167013214</v>
      </c>
      <c r="AK151" s="8">
        <f>AVERAGE(AH151:AJ151)</f>
        <v>0.60833087801804864</v>
      </c>
      <c r="AS151" s="10">
        <f>AF151/32</f>
        <v>0.125</v>
      </c>
      <c r="AT151" s="10">
        <f>AG151/28</f>
        <v>0.14285714285714285</v>
      </c>
    </row>
    <row r="152" spans="1:46" x14ac:dyDescent="0.3">
      <c r="A152" s="2" t="s">
        <v>357</v>
      </c>
      <c r="B152" s="2" t="s">
        <v>58</v>
      </c>
      <c r="C152" s="2" t="s">
        <v>645</v>
      </c>
      <c r="D152" s="2" t="s">
        <v>59</v>
      </c>
      <c r="E152" s="3" t="s">
        <v>59</v>
      </c>
      <c r="F152" s="3" t="s">
        <v>50</v>
      </c>
      <c r="G152" s="2" t="s">
        <v>658</v>
      </c>
      <c r="H152" s="2" t="s">
        <v>884</v>
      </c>
      <c r="I152" s="2" t="s">
        <v>50</v>
      </c>
      <c r="J152" s="2">
        <v>1</v>
      </c>
      <c r="AE152" s="2">
        <v>2004</v>
      </c>
      <c r="AF152" s="2">
        <v>4</v>
      </c>
      <c r="AG152" s="2">
        <v>4</v>
      </c>
      <c r="AH152" s="8">
        <v>0.56951425458084992</v>
      </c>
      <c r="AI152" s="8">
        <v>0.16458795763883138</v>
      </c>
      <c r="AJ152" s="8">
        <v>0.92187861079338429</v>
      </c>
      <c r="AK152" s="8">
        <f>AVERAGE(AH152:AJ152)</f>
        <v>0.5519936076710219</v>
      </c>
      <c r="AS152" s="10">
        <f>AF152/32</f>
        <v>0.125</v>
      </c>
      <c r="AT152" s="10">
        <f>AG152/28</f>
        <v>0.14285714285714285</v>
      </c>
    </row>
    <row r="153" spans="1:46" x14ac:dyDescent="0.3">
      <c r="A153" s="2" t="s">
        <v>486</v>
      </c>
      <c r="B153" s="2" t="s">
        <v>167</v>
      </c>
      <c r="C153" s="2" t="s">
        <v>179</v>
      </c>
      <c r="D153" s="2" t="s">
        <v>179</v>
      </c>
      <c r="E153" s="2" t="s">
        <v>171</v>
      </c>
      <c r="F153" s="2" t="s">
        <v>179</v>
      </c>
      <c r="G153" s="2" t="s">
        <v>653</v>
      </c>
      <c r="H153" s="2" t="s">
        <v>884</v>
      </c>
      <c r="I153" s="2" t="s">
        <v>179</v>
      </c>
      <c r="J153" s="2">
        <v>1</v>
      </c>
      <c r="AE153" s="2" t="s">
        <v>677</v>
      </c>
      <c r="AF153" s="2">
        <v>12</v>
      </c>
      <c r="AG153" s="2">
        <v>12</v>
      </c>
      <c r="AH153" s="8">
        <v>0.4506967189438229</v>
      </c>
      <c r="AI153" s="8">
        <v>1</v>
      </c>
      <c r="AJ153" s="8">
        <v>0.17841775089680378</v>
      </c>
      <c r="AK153" s="8">
        <f>AVERAGE(AH153:AJ153)</f>
        <v>0.54303815661354227</v>
      </c>
      <c r="AS153" s="10">
        <f>AF153/32</f>
        <v>0.375</v>
      </c>
      <c r="AT153" s="10">
        <f>AG153/28</f>
        <v>0.42857142857142855</v>
      </c>
    </row>
    <row r="154" spans="1:46" x14ac:dyDescent="0.3">
      <c r="A154" s="2" t="s">
        <v>464</v>
      </c>
      <c r="B154" s="2" t="s">
        <v>146</v>
      </c>
      <c r="C154" s="2" t="s">
        <v>155</v>
      </c>
      <c r="D154" s="2" t="s">
        <v>155</v>
      </c>
      <c r="E154" s="2" t="s">
        <v>151</v>
      </c>
      <c r="F154" s="2" t="s">
        <v>155</v>
      </c>
      <c r="G154" s="2" t="s">
        <v>658</v>
      </c>
      <c r="H154" s="2" t="s">
        <v>884</v>
      </c>
      <c r="I154" s="2" t="s">
        <v>155</v>
      </c>
      <c r="J154" s="2">
        <v>1</v>
      </c>
      <c r="AE154" s="2">
        <v>2004</v>
      </c>
      <c r="AF154" s="2">
        <v>4</v>
      </c>
      <c r="AG154" s="2">
        <v>4</v>
      </c>
      <c r="AH154" s="8">
        <v>0.39381334091322984</v>
      </c>
      <c r="AI154" s="8">
        <v>1</v>
      </c>
      <c r="AJ154" s="8">
        <v>0.21099060453696644</v>
      </c>
      <c r="AK154" s="8">
        <f>AVERAGE(AH154:AJ154)</f>
        <v>0.53493464848339878</v>
      </c>
      <c r="AS154" s="10">
        <f>AF154/32</f>
        <v>0.125</v>
      </c>
      <c r="AT154" s="10">
        <f>AG154/28</f>
        <v>0.14285714285714285</v>
      </c>
    </row>
    <row r="155" spans="1:46" x14ac:dyDescent="0.3">
      <c r="A155" s="2" t="s">
        <v>608</v>
      </c>
      <c r="B155" s="2" t="s">
        <v>201</v>
      </c>
      <c r="C155" s="2" t="s">
        <v>215</v>
      </c>
      <c r="D155" s="2" t="s">
        <v>215</v>
      </c>
      <c r="E155" s="2" t="s">
        <v>253</v>
      </c>
      <c r="F155" s="2" t="s">
        <v>215</v>
      </c>
      <c r="G155" s="2" t="s">
        <v>653</v>
      </c>
      <c r="H155" s="2" t="s">
        <v>884</v>
      </c>
      <c r="I155" s="2" t="s">
        <v>215</v>
      </c>
      <c r="J155" s="2">
        <v>2</v>
      </c>
      <c r="AE155" s="2" t="s">
        <v>679</v>
      </c>
      <c r="AF155" s="2">
        <v>8</v>
      </c>
      <c r="AG155" s="2">
        <v>8</v>
      </c>
      <c r="AH155" s="8">
        <v>0.424757416645833</v>
      </c>
      <c r="AI155" s="8">
        <v>0.9934152512389387</v>
      </c>
      <c r="AJ155" s="8">
        <v>0.1810906693965737</v>
      </c>
      <c r="AK155" s="8">
        <f>AVERAGE(AH155:AJ155)</f>
        <v>0.5330877790937818</v>
      </c>
      <c r="AS155" s="10">
        <f>AF155/32</f>
        <v>0.25</v>
      </c>
      <c r="AT155" s="10">
        <f>AG155/28</f>
        <v>0.2857142857142857</v>
      </c>
    </row>
    <row r="156" spans="1:46" x14ac:dyDescent="0.3">
      <c r="A156" s="2">
        <v>3302007</v>
      </c>
      <c r="B156" s="2" t="s">
        <v>146</v>
      </c>
      <c r="C156" s="2" t="s">
        <v>155</v>
      </c>
      <c r="D156" s="2" t="s">
        <v>155</v>
      </c>
      <c r="E156" s="2" t="s">
        <v>717</v>
      </c>
      <c r="F156" s="2" t="s">
        <v>155</v>
      </c>
      <c r="G156" s="2" t="s">
        <v>658</v>
      </c>
      <c r="H156" s="2" t="s">
        <v>884</v>
      </c>
      <c r="I156" s="2" t="s">
        <v>155</v>
      </c>
      <c r="J156" s="2">
        <v>1</v>
      </c>
      <c r="AE156" s="2">
        <v>2000</v>
      </c>
      <c r="AF156" s="2">
        <v>4</v>
      </c>
      <c r="AG156" s="2">
        <v>4</v>
      </c>
      <c r="AH156" s="8">
        <v>0.4476943800366518</v>
      </c>
      <c r="AI156" s="8">
        <v>0.93541619607069659</v>
      </c>
      <c r="AJ156" s="8">
        <v>0.20742722113941175</v>
      </c>
      <c r="AK156" s="8">
        <f>AVERAGE(AH156:AJ156)</f>
        <v>0.53017926574892005</v>
      </c>
      <c r="AS156" s="10">
        <f>AF156/32</f>
        <v>0.125</v>
      </c>
      <c r="AT156" s="10">
        <f>AG156/28</f>
        <v>0.14285714285714285</v>
      </c>
    </row>
    <row r="157" spans="1:46" x14ac:dyDescent="0.3">
      <c r="A157" s="2" t="s">
        <v>334</v>
      </c>
      <c r="B157" s="2" t="s">
        <v>27</v>
      </c>
      <c r="C157" s="2" t="s">
        <v>36</v>
      </c>
      <c r="D157" s="2" t="s">
        <v>36</v>
      </c>
      <c r="E157" s="3" t="s">
        <v>38</v>
      </c>
      <c r="F157" s="3" t="s">
        <v>36</v>
      </c>
      <c r="G157" s="2" t="s">
        <v>653</v>
      </c>
      <c r="H157" s="2" t="s">
        <v>884</v>
      </c>
      <c r="I157" s="2" t="s">
        <v>36</v>
      </c>
      <c r="J157" s="2">
        <v>1</v>
      </c>
      <c r="AE157" s="2">
        <v>2008</v>
      </c>
      <c r="AF157" s="2">
        <v>4</v>
      </c>
      <c r="AG157" s="2">
        <v>4</v>
      </c>
      <c r="AH157" s="8">
        <v>0.44473676268065498</v>
      </c>
      <c r="AI157" s="8">
        <v>0.86154657623188369</v>
      </c>
      <c r="AJ157" s="8">
        <v>0.26935456120415613</v>
      </c>
      <c r="AK157" s="8">
        <f>AVERAGE(AH157:AJ157)</f>
        <v>0.52521263337223156</v>
      </c>
      <c r="AS157" s="10">
        <f>AF157/32</f>
        <v>0.125</v>
      </c>
      <c r="AT157" s="10">
        <f>AG157/28</f>
        <v>0.14285714285714285</v>
      </c>
    </row>
    <row r="158" spans="1:46" x14ac:dyDescent="0.3">
      <c r="A158" s="2">
        <v>4100400</v>
      </c>
      <c r="B158" s="2" t="s">
        <v>131</v>
      </c>
      <c r="C158" s="2" t="s">
        <v>136</v>
      </c>
      <c r="D158" s="2" t="s">
        <v>136</v>
      </c>
      <c r="E158" s="2" t="s">
        <v>132</v>
      </c>
      <c r="F158" s="2" t="s">
        <v>136</v>
      </c>
      <c r="G158" s="2" t="s">
        <v>653</v>
      </c>
      <c r="H158" s="2" t="s">
        <v>884</v>
      </c>
      <c r="I158" s="2" t="s">
        <v>136</v>
      </c>
      <c r="J158" s="2">
        <v>1</v>
      </c>
      <c r="AE158" s="2">
        <v>2008</v>
      </c>
      <c r="AF158" s="2">
        <v>4</v>
      </c>
      <c r="AG158" s="2">
        <v>4</v>
      </c>
      <c r="AH158" s="8">
        <v>0.50865617344758862</v>
      </c>
      <c r="AI158" s="8">
        <v>0.49505784968141486</v>
      </c>
      <c r="AJ158" s="8">
        <v>0.43432506188313807</v>
      </c>
      <c r="AK158" s="8">
        <f>AVERAGE(AH158:AJ158)</f>
        <v>0.47934636167071387</v>
      </c>
      <c r="AS158" s="10">
        <f>AF158/32</f>
        <v>0.125</v>
      </c>
      <c r="AT158" s="10">
        <f>AG158/28</f>
        <v>0.14285714285714285</v>
      </c>
    </row>
    <row r="159" spans="1:46" x14ac:dyDescent="0.3">
      <c r="A159" s="2" t="s">
        <v>365</v>
      </c>
      <c r="B159" s="2" t="s">
        <v>58</v>
      </c>
      <c r="C159" s="2" t="s">
        <v>645</v>
      </c>
      <c r="D159" s="2" t="s">
        <v>649</v>
      </c>
      <c r="E159" s="2" t="s">
        <v>310</v>
      </c>
      <c r="F159" s="2" t="s">
        <v>50</v>
      </c>
      <c r="G159" s="2" t="s">
        <v>658</v>
      </c>
      <c r="H159" s="2" t="s">
        <v>884</v>
      </c>
      <c r="I159" s="2" t="s">
        <v>50</v>
      </c>
      <c r="J159" s="2">
        <v>1</v>
      </c>
      <c r="AH159" s="8">
        <v>0.5238511618495354</v>
      </c>
      <c r="AI159" s="8">
        <v>0.44565285200445254</v>
      </c>
      <c r="AJ159" s="8">
        <v>0.34769972786435938</v>
      </c>
      <c r="AK159" s="8">
        <f>AVERAGE(AH159:AJ159)</f>
        <v>0.43906791390611577</v>
      </c>
    </row>
    <row r="160" spans="1:46" x14ac:dyDescent="0.3">
      <c r="A160" s="2" t="s">
        <v>474</v>
      </c>
      <c r="B160" s="2" t="s">
        <v>146</v>
      </c>
      <c r="C160" s="2" t="s">
        <v>155</v>
      </c>
      <c r="D160" s="2" t="s">
        <v>155</v>
      </c>
      <c r="E160" s="2" t="s">
        <v>156</v>
      </c>
      <c r="F160" s="2" t="s">
        <v>155</v>
      </c>
      <c r="G160" s="2" t="s">
        <v>658</v>
      </c>
      <c r="H160" s="2" t="s">
        <v>884</v>
      </c>
      <c r="I160" s="2" t="s">
        <v>155</v>
      </c>
      <c r="J160" s="2">
        <v>1</v>
      </c>
      <c r="AE160" s="2">
        <v>2004</v>
      </c>
      <c r="AF160" s="2">
        <v>4</v>
      </c>
      <c r="AG160" s="2">
        <v>4</v>
      </c>
      <c r="AH160" s="8">
        <v>0.32661958893643045</v>
      </c>
      <c r="AI160" s="8">
        <v>0.63496550416117847</v>
      </c>
      <c r="AJ160" s="8">
        <v>0.26008971325809643</v>
      </c>
      <c r="AK160" s="8">
        <f>AVERAGE(AH160:AJ160)</f>
        <v>0.40722493545190175</v>
      </c>
      <c r="AS160" s="10">
        <f>AF160/32</f>
        <v>0.125</v>
      </c>
      <c r="AT160" s="10">
        <f>AG160/28</f>
        <v>0.14285714285714285</v>
      </c>
    </row>
    <row r="161" spans="1:46" x14ac:dyDescent="0.3">
      <c r="A161" s="2" t="s">
        <v>483</v>
      </c>
      <c r="B161" s="2" t="s">
        <v>167</v>
      </c>
      <c r="C161" s="2" t="s">
        <v>179</v>
      </c>
      <c r="D161" s="2" t="s">
        <v>179</v>
      </c>
      <c r="E161" s="2" t="s">
        <v>168</v>
      </c>
      <c r="F161" s="2" t="s">
        <v>179</v>
      </c>
      <c r="G161" s="2" t="s">
        <v>653</v>
      </c>
      <c r="H161" s="2" t="s">
        <v>884</v>
      </c>
      <c r="I161" s="2" t="s">
        <v>179</v>
      </c>
      <c r="J161" s="2">
        <v>1</v>
      </c>
      <c r="AE161" s="2" t="s">
        <v>678</v>
      </c>
      <c r="AF161" s="2">
        <v>8</v>
      </c>
      <c r="AG161" s="2">
        <v>8</v>
      </c>
      <c r="AH161" s="8">
        <v>0.42233079044919108</v>
      </c>
      <c r="AI161" s="8">
        <v>0.52215222961253072</v>
      </c>
      <c r="AJ161" s="8">
        <v>0.26965859426881239</v>
      </c>
      <c r="AK161" s="8">
        <f>AVERAGE(AH161:AJ161)</f>
        <v>0.4047138714435114</v>
      </c>
      <c r="AS161" s="10">
        <f>AF161/32</f>
        <v>0.25</v>
      </c>
      <c r="AT161" s="10">
        <f>AG161/28</f>
        <v>0.2857142857142857</v>
      </c>
    </row>
    <row r="162" spans="1:46" x14ac:dyDescent="0.3">
      <c r="A162" s="2" t="s">
        <v>511</v>
      </c>
      <c r="B162" s="2" t="s">
        <v>167</v>
      </c>
      <c r="C162" s="2" t="s">
        <v>179</v>
      </c>
      <c r="D162" s="2" t="s">
        <v>179</v>
      </c>
      <c r="E162" s="2" t="s">
        <v>845</v>
      </c>
      <c r="F162" s="2" t="s">
        <v>179</v>
      </c>
      <c r="G162" s="2" t="s">
        <v>653</v>
      </c>
      <c r="H162" s="2" t="s">
        <v>884</v>
      </c>
      <c r="I162" s="2" t="s">
        <v>179</v>
      </c>
      <c r="J162" s="2">
        <v>1</v>
      </c>
      <c r="AE162" s="2" t="s">
        <v>681</v>
      </c>
      <c r="AF162" s="2">
        <v>8</v>
      </c>
      <c r="AG162" s="2">
        <v>4</v>
      </c>
      <c r="AH162" s="8">
        <v>0.48265737002939707</v>
      </c>
      <c r="AI162" s="8">
        <v>0.2969420785151724</v>
      </c>
      <c r="AJ162" s="8">
        <v>0.27266623078543162</v>
      </c>
      <c r="AK162" s="8">
        <f>AVERAGE(AH162:AJ162)</f>
        <v>0.35075522644333362</v>
      </c>
      <c r="AS162" s="10">
        <f>AF162/32</f>
        <v>0.25</v>
      </c>
      <c r="AT162" s="10">
        <f>AG162/28</f>
        <v>0.14285714285714285</v>
      </c>
    </row>
    <row r="163" spans="1:46" x14ac:dyDescent="0.3">
      <c r="A163" s="2" t="s">
        <v>467</v>
      </c>
      <c r="B163" s="2" t="s">
        <v>146</v>
      </c>
      <c r="C163" s="2" t="s">
        <v>155</v>
      </c>
      <c r="D163" s="2" t="s">
        <v>155</v>
      </c>
      <c r="E163" s="2" t="s">
        <v>152</v>
      </c>
      <c r="F163" s="2" t="s">
        <v>155</v>
      </c>
      <c r="G163" s="2" t="s">
        <v>658</v>
      </c>
      <c r="H163" s="2" t="s">
        <v>884</v>
      </c>
      <c r="I163" s="2" t="s">
        <v>155</v>
      </c>
      <c r="J163" s="2">
        <v>1</v>
      </c>
      <c r="AE163" s="2">
        <v>2004</v>
      </c>
      <c r="AF163" s="2">
        <v>4</v>
      </c>
      <c r="AG163" s="2">
        <v>4</v>
      </c>
      <c r="AH163" s="8">
        <v>0.44425890316521566</v>
      </c>
      <c r="AI163" s="8">
        <v>0.36660615213422809</v>
      </c>
      <c r="AJ163" s="8">
        <v>0.19611373273063359</v>
      </c>
      <c r="AK163" s="8">
        <f>AVERAGE(AH163:AJ163)</f>
        <v>0.33565959601002576</v>
      </c>
      <c r="AS163" s="10">
        <f>AF163/32</f>
        <v>0.125</v>
      </c>
      <c r="AT163" s="10">
        <f>AG163/28</f>
        <v>0.14285714285714285</v>
      </c>
    </row>
    <row r="164" spans="1:46" x14ac:dyDescent="0.3">
      <c r="A164" s="2" t="s">
        <v>383</v>
      </c>
      <c r="B164" s="2" t="s">
        <v>70</v>
      </c>
      <c r="C164" s="2" t="s">
        <v>74</v>
      </c>
      <c r="D164" s="2" t="s">
        <v>74</v>
      </c>
      <c r="E164" s="3" t="s">
        <v>78</v>
      </c>
      <c r="F164" s="3" t="s">
        <v>74</v>
      </c>
      <c r="G164" s="2" t="s">
        <v>653</v>
      </c>
      <c r="H164" s="2" t="s">
        <v>884</v>
      </c>
      <c r="I164" s="2" t="s">
        <v>74</v>
      </c>
      <c r="J164" s="2">
        <v>1</v>
      </c>
      <c r="N164" s="4" t="s">
        <v>662</v>
      </c>
      <c r="P164" s="4" t="s">
        <v>662</v>
      </c>
      <c r="T164" s="2" t="s">
        <v>662</v>
      </c>
      <c r="U164" s="2" t="s">
        <v>725</v>
      </c>
      <c r="V164" s="5" t="s">
        <v>662</v>
      </c>
      <c r="W164" s="5" t="s">
        <v>662</v>
      </c>
      <c r="Y164" s="5" t="s">
        <v>662</v>
      </c>
      <c r="Z164" s="5" t="s">
        <v>662</v>
      </c>
      <c r="AB164" s="5" t="s">
        <v>662</v>
      </c>
      <c r="AC164" s="5" t="s">
        <v>662</v>
      </c>
      <c r="AE164" s="2">
        <v>2012</v>
      </c>
      <c r="AF164" s="2">
        <v>4</v>
      </c>
      <c r="AG164" s="2">
        <v>4</v>
      </c>
      <c r="AH164" s="8">
        <v>0.29092125218295906</v>
      </c>
      <c r="AI164" s="8">
        <v>0.4572464232313237</v>
      </c>
      <c r="AJ164" s="8">
        <v>0.21677635386634098</v>
      </c>
      <c r="AK164" s="8">
        <f>AVERAGE(AH164:AJ164)</f>
        <v>0.32164800976020791</v>
      </c>
      <c r="AQ164" s="10">
        <v>0</v>
      </c>
      <c r="AR164" s="10">
        <v>0</v>
      </c>
      <c r="AS164" s="10">
        <f>AF164/32</f>
        <v>0.125</v>
      </c>
      <c r="AT164" s="10">
        <f>AG164/28</f>
        <v>0.14285714285714285</v>
      </c>
    </row>
    <row r="165" spans="1:46" x14ac:dyDescent="0.3">
      <c r="A165" s="2" t="s">
        <v>313</v>
      </c>
      <c r="B165" s="2" t="s">
        <v>19</v>
      </c>
      <c r="C165" s="2" t="s">
        <v>18</v>
      </c>
      <c r="D165" s="2" t="s">
        <v>18</v>
      </c>
      <c r="E165" s="3" t="s">
        <v>18</v>
      </c>
      <c r="F165" s="3" t="s">
        <v>662</v>
      </c>
      <c r="G165" s="2" t="s">
        <v>651</v>
      </c>
      <c r="H165" s="2" t="s">
        <v>885</v>
      </c>
      <c r="I165" s="2" t="s">
        <v>162</v>
      </c>
      <c r="J165" s="2">
        <v>2</v>
      </c>
      <c r="AE165" s="2" t="s">
        <v>679</v>
      </c>
      <c r="AF165" s="2">
        <v>8</v>
      </c>
      <c r="AG165" s="2">
        <v>8</v>
      </c>
      <c r="AH165" s="8">
        <v>0.87582239300267584</v>
      </c>
      <c r="AI165" s="8">
        <v>0.84869866432694652</v>
      </c>
      <c r="AJ165" s="8">
        <v>0.72161076491016796</v>
      </c>
      <c r="AK165" s="8">
        <f>AVERAGE(AH165:AJ165)</f>
        <v>0.8153772740799301</v>
      </c>
      <c r="AS165" s="10">
        <f>AF165/32</f>
        <v>0.25</v>
      </c>
      <c r="AT165" s="10">
        <f>AG165/28</f>
        <v>0.2857142857142857</v>
      </c>
    </row>
    <row r="166" spans="1:46" x14ac:dyDescent="0.3">
      <c r="A166" s="2" t="s">
        <v>417</v>
      </c>
      <c r="B166" s="2" t="s">
        <v>258</v>
      </c>
      <c r="C166" s="2" t="s">
        <v>106</v>
      </c>
      <c r="D166" s="2" t="s">
        <v>106</v>
      </c>
      <c r="E166" s="2" t="s">
        <v>107</v>
      </c>
      <c r="F166" s="2" t="s">
        <v>106</v>
      </c>
      <c r="G166" s="2" t="s">
        <v>652</v>
      </c>
      <c r="H166" s="2" t="s">
        <v>885</v>
      </c>
      <c r="I166" s="2" t="s">
        <v>50</v>
      </c>
      <c r="J166" s="2">
        <v>2</v>
      </c>
      <c r="U166" s="2" t="s">
        <v>725</v>
      </c>
      <c r="AE166" s="2">
        <v>2008</v>
      </c>
      <c r="AF166" s="2">
        <v>4</v>
      </c>
      <c r="AG166" s="2">
        <v>4</v>
      </c>
      <c r="AH166" s="8">
        <v>0.74433805129435082</v>
      </c>
      <c r="AI166" s="8">
        <v>0.99680296612989361</v>
      </c>
      <c r="AJ166" s="8">
        <v>0.65040157586322722</v>
      </c>
      <c r="AK166" s="8">
        <f>AVERAGE(AH166:AJ166)</f>
        <v>0.79718086442915725</v>
      </c>
      <c r="AQ166" s="10">
        <v>0</v>
      </c>
      <c r="AR166" s="10">
        <v>0</v>
      </c>
      <c r="AS166" s="10">
        <f>AF166/32</f>
        <v>0.125</v>
      </c>
      <c r="AT166" s="10">
        <f>AG166/28</f>
        <v>0.14285714285714285</v>
      </c>
    </row>
    <row r="167" spans="1:46" x14ac:dyDescent="0.3">
      <c r="A167" s="2" t="s">
        <v>481</v>
      </c>
      <c r="B167" s="2" t="s">
        <v>165</v>
      </c>
      <c r="C167" s="2" t="s">
        <v>166</v>
      </c>
      <c r="D167" s="2" t="s">
        <v>166</v>
      </c>
      <c r="E167" s="2" t="s">
        <v>166</v>
      </c>
      <c r="F167" s="2" t="s">
        <v>662</v>
      </c>
      <c r="G167" s="2" t="s">
        <v>651</v>
      </c>
      <c r="H167" s="2" t="s">
        <v>885</v>
      </c>
      <c r="I167" s="2" t="s">
        <v>24</v>
      </c>
      <c r="J167" s="2">
        <v>2</v>
      </c>
      <c r="AE167" s="2">
        <v>2004</v>
      </c>
      <c r="AF167" s="2">
        <v>4</v>
      </c>
      <c r="AG167" s="2">
        <v>4</v>
      </c>
      <c r="AH167" s="8">
        <v>0.74261421104102299</v>
      </c>
      <c r="AI167" s="8">
        <v>0.39728066856570537</v>
      </c>
      <c r="AJ167" s="8">
        <v>0.74134169735497446</v>
      </c>
      <c r="AK167" s="8">
        <f>AVERAGE(AH167:AJ167)</f>
        <v>0.62707885898723426</v>
      </c>
      <c r="AS167" s="10">
        <f>AF167/32</f>
        <v>0.125</v>
      </c>
      <c r="AT167" s="10">
        <f>AG167/28</f>
        <v>0.14285714285714285</v>
      </c>
    </row>
    <row r="168" spans="1:46" x14ac:dyDescent="0.3">
      <c r="A168" s="2" t="s">
        <v>317</v>
      </c>
      <c r="B168" s="2" t="s">
        <v>25</v>
      </c>
      <c r="C168" s="2" t="s">
        <v>26</v>
      </c>
      <c r="D168" s="2" t="s">
        <v>26</v>
      </c>
      <c r="E168" s="3" t="s">
        <v>26</v>
      </c>
      <c r="F168" s="3" t="s">
        <v>26</v>
      </c>
      <c r="G168" s="2" t="s">
        <v>651</v>
      </c>
      <c r="H168" s="2" t="s">
        <v>885</v>
      </c>
      <c r="I168" s="2" t="s">
        <v>110</v>
      </c>
      <c r="J168" s="2">
        <v>2</v>
      </c>
      <c r="AE168" s="2">
        <v>2004</v>
      </c>
      <c r="AF168" s="2">
        <v>4</v>
      </c>
      <c r="AG168" s="2">
        <v>4</v>
      </c>
      <c r="AH168" s="8">
        <v>0.48979194541757187</v>
      </c>
      <c r="AI168" s="8">
        <v>0.36608207251124569</v>
      </c>
      <c r="AJ168" s="8">
        <v>0.44073531908762476</v>
      </c>
      <c r="AK168" s="8">
        <f>AVERAGE(AH168:AJ168)</f>
        <v>0.43220311233881414</v>
      </c>
      <c r="AS168" s="10">
        <f>AF168/32</f>
        <v>0.125</v>
      </c>
      <c r="AT168" s="10">
        <f>AG168/28</f>
        <v>0.14285714285714285</v>
      </c>
    </row>
    <row r="169" spans="1:46" x14ac:dyDescent="0.3">
      <c r="A169" s="2" t="s">
        <v>315</v>
      </c>
      <c r="B169" s="2" t="s">
        <v>21</v>
      </c>
      <c r="C169" s="2" t="s">
        <v>22</v>
      </c>
      <c r="D169" s="2" t="s">
        <v>22</v>
      </c>
      <c r="E169" s="3" t="s">
        <v>22</v>
      </c>
      <c r="F169" s="3" t="s">
        <v>22</v>
      </c>
      <c r="G169" s="2" t="s">
        <v>652</v>
      </c>
      <c r="H169" s="2" t="s">
        <v>885</v>
      </c>
      <c r="I169" s="2" t="s">
        <v>124</v>
      </c>
      <c r="J169" s="2">
        <v>2</v>
      </c>
      <c r="N169" s="4" t="s">
        <v>662</v>
      </c>
      <c r="P169" s="4" t="s">
        <v>662</v>
      </c>
      <c r="T169" s="4" t="s">
        <v>662</v>
      </c>
      <c r="U169" s="2" t="s">
        <v>725</v>
      </c>
      <c r="V169" s="5" t="s">
        <v>662</v>
      </c>
      <c r="W169" s="5" t="s">
        <v>662</v>
      </c>
      <c r="Y169" s="5" t="s">
        <v>662</v>
      </c>
      <c r="Z169" s="5" t="s">
        <v>662</v>
      </c>
      <c r="AB169" s="5" t="s">
        <v>662</v>
      </c>
      <c r="AC169" s="5" t="s">
        <v>662</v>
      </c>
      <c r="AE169" s="2" t="s">
        <v>686</v>
      </c>
      <c r="AF169" s="2">
        <v>12</v>
      </c>
      <c r="AG169" s="2">
        <v>12</v>
      </c>
      <c r="AH169" s="8">
        <v>0.5087069992902763</v>
      </c>
      <c r="AI169" s="8">
        <v>0.58486424195029341</v>
      </c>
      <c r="AJ169" s="8">
        <v>0.12452317202742839</v>
      </c>
      <c r="AK169" s="8">
        <f>AVERAGE(AH169:AJ169)</f>
        <v>0.40603147108933269</v>
      </c>
      <c r="AQ169" s="10">
        <v>0</v>
      </c>
      <c r="AR169" s="10">
        <v>0</v>
      </c>
      <c r="AS169" s="10">
        <f>AF169/32</f>
        <v>0.375</v>
      </c>
      <c r="AT169" s="10">
        <f>AG169/28</f>
        <v>0.42857142857142855</v>
      </c>
    </row>
    <row r="170" spans="1:46" x14ac:dyDescent="0.3">
      <c r="A170" s="2" t="s">
        <v>537</v>
      </c>
      <c r="B170" s="2" t="s">
        <v>51</v>
      </c>
      <c r="C170" s="2" t="s">
        <v>199</v>
      </c>
      <c r="D170" s="2" t="s">
        <v>199</v>
      </c>
      <c r="E170" s="2" t="s">
        <v>200</v>
      </c>
      <c r="F170" s="2" t="s">
        <v>199</v>
      </c>
      <c r="G170" s="2" t="s">
        <v>652</v>
      </c>
      <c r="H170" s="2" t="s">
        <v>885</v>
      </c>
      <c r="I170" s="2" t="s">
        <v>124</v>
      </c>
      <c r="J170" s="2">
        <v>2</v>
      </c>
      <c r="AE170" s="2">
        <v>2012</v>
      </c>
      <c r="AF170" s="2">
        <v>4</v>
      </c>
      <c r="AG170" s="2">
        <v>4</v>
      </c>
      <c r="AH170" s="8">
        <v>0.35124035328200753</v>
      </c>
      <c r="AI170" s="8">
        <v>0.11758409063028771</v>
      </c>
      <c r="AJ170" s="8">
        <v>0.49104893533839211</v>
      </c>
      <c r="AK170" s="8">
        <f>AVERAGE(AH170:AJ170)</f>
        <v>0.31995779308356248</v>
      </c>
      <c r="AS170" s="10">
        <f>AF170/32</f>
        <v>0.125</v>
      </c>
      <c r="AT170" s="10">
        <f>AG170/28</f>
        <v>0.14285714285714285</v>
      </c>
    </row>
    <row r="171" spans="1:46" x14ac:dyDescent="0.3">
      <c r="A171" s="2" t="s">
        <v>371</v>
      </c>
      <c r="B171" s="2" t="s">
        <v>63</v>
      </c>
      <c r="C171" s="2" t="s">
        <v>312</v>
      </c>
      <c r="D171" s="2" t="s">
        <v>68</v>
      </c>
      <c r="E171" s="3" t="s">
        <v>68</v>
      </c>
      <c r="F171" s="3" t="s">
        <v>130</v>
      </c>
      <c r="G171" s="2" t="s">
        <v>652</v>
      </c>
      <c r="H171" s="2" t="s">
        <v>885</v>
      </c>
      <c r="I171" s="2" t="s">
        <v>44</v>
      </c>
      <c r="J171" s="2">
        <v>2</v>
      </c>
      <c r="AE171" s="2">
        <v>2004</v>
      </c>
      <c r="AF171" s="2">
        <v>4</v>
      </c>
      <c r="AG171" s="2">
        <v>4</v>
      </c>
      <c r="AH171" s="8">
        <v>0.16562304602416006</v>
      </c>
      <c r="AI171" s="8">
        <v>2.3010635808619499E-2</v>
      </c>
      <c r="AJ171" s="8">
        <v>0.4008180212193842</v>
      </c>
      <c r="AK171" s="8">
        <f>AVERAGE(AH171:AJ171)</f>
        <v>0.19648390101738791</v>
      </c>
      <c r="AS171" s="10">
        <f>AF171/32</f>
        <v>0.125</v>
      </c>
      <c r="AT171" s="10">
        <f>AG171/28</f>
        <v>0.14285714285714285</v>
      </c>
    </row>
    <row r="172" spans="1:46" x14ac:dyDescent="0.3">
      <c r="A172" s="2" t="s">
        <v>369</v>
      </c>
      <c r="B172" s="2" t="s">
        <v>63</v>
      </c>
      <c r="C172" s="2" t="s">
        <v>67</v>
      </c>
      <c r="D172" s="2" t="s">
        <v>67</v>
      </c>
      <c r="E172" s="3" t="s">
        <v>66</v>
      </c>
      <c r="F172" s="3" t="s">
        <v>671</v>
      </c>
      <c r="G172" s="2" t="s">
        <v>652</v>
      </c>
      <c r="H172" s="2" t="s">
        <v>885</v>
      </c>
      <c r="I172" s="2" t="s">
        <v>44</v>
      </c>
      <c r="J172" s="2">
        <v>2</v>
      </c>
      <c r="AE172" s="2">
        <v>2004</v>
      </c>
      <c r="AF172" s="2">
        <v>4</v>
      </c>
      <c r="AG172" s="2">
        <v>4</v>
      </c>
      <c r="AH172" s="8">
        <v>0.24786124002138629</v>
      </c>
      <c r="AI172" s="8">
        <v>2.2382901035396745E-2</v>
      </c>
      <c r="AJ172" s="8">
        <v>0.16562292604351647</v>
      </c>
      <c r="AK172" s="8">
        <f>AVERAGE(AH172:AJ172)</f>
        <v>0.1452890223667665</v>
      </c>
      <c r="AS172" s="10">
        <f>AF172/32</f>
        <v>0.125</v>
      </c>
      <c r="AT172" s="10">
        <f>AG172/28</f>
        <v>0.14285714285714285</v>
      </c>
    </row>
    <row r="173" spans="1:46" x14ac:dyDescent="0.3">
      <c r="A173" s="2" t="s">
        <v>478</v>
      </c>
      <c r="B173" s="2" t="s">
        <v>161</v>
      </c>
      <c r="C173" s="2" t="s">
        <v>164</v>
      </c>
      <c r="D173" s="2" t="s">
        <v>163</v>
      </c>
      <c r="E173" s="2" t="s">
        <v>163</v>
      </c>
      <c r="F173" s="2" t="s">
        <v>662</v>
      </c>
      <c r="G173" s="2" t="s">
        <v>651</v>
      </c>
      <c r="H173" s="2" t="s">
        <v>886</v>
      </c>
      <c r="I173" s="2" t="s">
        <v>162</v>
      </c>
      <c r="J173" s="2">
        <v>3</v>
      </c>
      <c r="AE173" s="2">
        <v>2004</v>
      </c>
      <c r="AF173" s="2">
        <v>4</v>
      </c>
      <c r="AG173" s="2">
        <v>4</v>
      </c>
      <c r="AH173" s="8">
        <v>0.69701549516820516</v>
      </c>
      <c r="AI173" s="8">
        <v>0.95892551483819166</v>
      </c>
      <c r="AJ173" s="8">
        <v>0.75759534256681849</v>
      </c>
      <c r="AK173" s="8">
        <f>AVERAGE(AH173:AJ173)</f>
        <v>0.80451211752440521</v>
      </c>
      <c r="AS173" s="10">
        <f>AF173/32</f>
        <v>0.125</v>
      </c>
      <c r="AT173" s="10">
        <f>AG173/28</f>
        <v>0.14285714285714285</v>
      </c>
    </row>
    <row r="174" spans="1:46" x14ac:dyDescent="0.3">
      <c r="A174" s="2" t="s">
        <v>590</v>
      </c>
      <c r="B174" s="2" t="s">
        <v>201</v>
      </c>
      <c r="C174" s="2" t="s">
        <v>239</v>
      </c>
      <c r="D174" s="2" t="s">
        <v>239</v>
      </c>
      <c r="E174" s="2" t="s">
        <v>239</v>
      </c>
      <c r="F174" s="2" t="s">
        <v>239</v>
      </c>
      <c r="G174" s="2" t="s">
        <v>651</v>
      </c>
      <c r="H174" s="2" t="s">
        <v>886</v>
      </c>
      <c r="I174" s="2" t="s">
        <v>249</v>
      </c>
      <c r="J174" s="2">
        <v>2</v>
      </c>
      <c r="AE174" s="2" t="s">
        <v>715</v>
      </c>
      <c r="AF174" s="2">
        <v>8</v>
      </c>
      <c r="AG174" s="2">
        <v>4</v>
      </c>
      <c r="AH174" s="8">
        <v>0.76326983726359077</v>
      </c>
      <c r="AI174" s="8">
        <v>1</v>
      </c>
      <c r="AJ174" s="8">
        <v>0.61903684530285707</v>
      </c>
      <c r="AK174" s="8">
        <f>AVERAGE(AH174:AJ174)</f>
        <v>0.79410222752214921</v>
      </c>
      <c r="AS174" s="10">
        <f>AF174/32</f>
        <v>0.25</v>
      </c>
      <c r="AT174" s="10">
        <f>AG174/28</f>
        <v>0.14285714285714285</v>
      </c>
    </row>
    <row r="175" spans="1:46" x14ac:dyDescent="0.3">
      <c r="A175" s="2">
        <v>3518404</v>
      </c>
      <c r="B175" s="2" t="s">
        <v>201</v>
      </c>
      <c r="C175" s="2" t="s">
        <v>248</v>
      </c>
      <c r="D175" s="2" t="s">
        <v>716</v>
      </c>
      <c r="E175" s="3" t="s">
        <v>716</v>
      </c>
      <c r="F175" s="3" t="s">
        <v>716</v>
      </c>
      <c r="G175" s="2" t="s">
        <v>651</v>
      </c>
      <c r="H175" s="2" t="s">
        <v>886</v>
      </c>
      <c r="I175" s="2" t="s">
        <v>248</v>
      </c>
      <c r="J175" s="2">
        <v>3</v>
      </c>
      <c r="AE175" s="2">
        <v>2016</v>
      </c>
      <c r="AF175" s="2">
        <v>4</v>
      </c>
      <c r="AG175" s="2">
        <v>4</v>
      </c>
      <c r="AH175" s="8">
        <v>0.70855624567767872</v>
      </c>
      <c r="AI175" s="8">
        <v>0.97978356749774986</v>
      </c>
      <c r="AJ175" s="8">
        <v>0.679636237354032</v>
      </c>
      <c r="AK175" s="8">
        <f>AVERAGE(AH175:AJ175)</f>
        <v>0.78932535017648686</v>
      </c>
      <c r="AS175" s="10">
        <f>AF175/32</f>
        <v>0.125</v>
      </c>
      <c r="AT175" s="10">
        <f>AG175/28</f>
        <v>0.14285714285714285</v>
      </c>
    </row>
    <row r="176" spans="1:46" x14ac:dyDescent="0.3">
      <c r="A176" s="2" t="s">
        <v>525</v>
      </c>
      <c r="B176" s="2" t="s">
        <v>186</v>
      </c>
      <c r="C176" s="2" t="s">
        <v>191</v>
      </c>
      <c r="D176" s="2" t="s">
        <v>191</v>
      </c>
      <c r="E176" s="2" t="s">
        <v>300</v>
      </c>
      <c r="F176" s="2" t="s">
        <v>191</v>
      </c>
      <c r="G176" s="2" t="s">
        <v>656</v>
      </c>
      <c r="H176" s="2" t="s">
        <v>886</v>
      </c>
      <c r="I176" s="2" t="s">
        <v>192</v>
      </c>
      <c r="J176" s="2">
        <v>2</v>
      </c>
      <c r="N176" s="4" t="s">
        <v>662</v>
      </c>
      <c r="P176" s="4" t="s">
        <v>662</v>
      </c>
      <c r="T176" s="2" t="s">
        <v>662</v>
      </c>
      <c r="U176" s="2" t="s">
        <v>662</v>
      </c>
      <c r="V176" s="5" t="s">
        <v>662</v>
      </c>
      <c r="W176" s="5" t="s">
        <v>662</v>
      </c>
      <c r="Y176" s="5" t="s">
        <v>662</v>
      </c>
      <c r="Z176" s="5" t="s">
        <v>662</v>
      </c>
      <c r="AB176" s="5" t="s">
        <v>662</v>
      </c>
      <c r="AC176" s="5" t="s">
        <v>662</v>
      </c>
      <c r="AE176" s="2">
        <v>2016</v>
      </c>
      <c r="AF176" s="2">
        <v>4</v>
      </c>
      <c r="AG176" s="2">
        <v>4</v>
      </c>
      <c r="AH176" s="8">
        <v>0.57411249145991494</v>
      </c>
      <c r="AI176" s="8">
        <v>0.81626897777921392</v>
      </c>
      <c r="AJ176" s="8">
        <v>0.9473946354943642</v>
      </c>
      <c r="AK176" s="8">
        <f>AVERAGE(AH176:AJ176)</f>
        <v>0.77925870157783106</v>
      </c>
      <c r="AS176" s="10">
        <f>AF176/32</f>
        <v>0.125</v>
      </c>
      <c r="AT176" s="10">
        <f>AG176/28</f>
        <v>0.14285714285714285</v>
      </c>
    </row>
    <row r="177" spans="1:46" x14ac:dyDescent="0.3">
      <c r="A177" s="2" t="s">
        <v>529</v>
      </c>
      <c r="B177" s="2" t="s">
        <v>186</v>
      </c>
      <c r="C177" s="2" t="s">
        <v>195</v>
      </c>
      <c r="D177" s="2" t="s">
        <v>195</v>
      </c>
      <c r="E177" s="2" t="s">
        <v>195</v>
      </c>
      <c r="F177" s="2" t="s">
        <v>662</v>
      </c>
      <c r="G177" s="2" t="s">
        <v>651</v>
      </c>
      <c r="H177" s="2" t="s">
        <v>886</v>
      </c>
      <c r="I177" s="2" t="s">
        <v>192</v>
      </c>
      <c r="J177" s="2">
        <v>2</v>
      </c>
      <c r="AE177" s="2">
        <v>1996</v>
      </c>
      <c r="AF177" s="2">
        <v>4</v>
      </c>
      <c r="AG177" s="2">
        <v>4</v>
      </c>
      <c r="AH177" s="8">
        <v>0.75037111784521349</v>
      </c>
      <c r="AI177" s="8">
        <v>1</v>
      </c>
      <c r="AJ177" s="8">
        <v>0.58177003027405449</v>
      </c>
      <c r="AK177" s="8">
        <f>AVERAGE(AH177:AJ177)</f>
        <v>0.77738038270642262</v>
      </c>
      <c r="AS177" s="10">
        <f>AF177/32</f>
        <v>0.125</v>
      </c>
      <c r="AT177" s="10">
        <f>AG177/28</f>
        <v>0.14285714285714285</v>
      </c>
    </row>
    <row r="178" spans="1:46" x14ac:dyDescent="0.3">
      <c r="A178" s="2" t="s">
        <v>575</v>
      </c>
      <c r="B178" s="2" t="s">
        <v>201</v>
      </c>
      <c r="C178" s="2" t="s">
        <v>248</v>
      </c>
      <c r="D178" s="2" t="s">
        <v>248</v>
      </c>
      <c r="E178" s="2" t="s">
        <v>227</v>
      </c>
      <c r="F178" s="2" t="s">
        <v>248</v>
      </c>
      <c r="G178" s="2" t="s">
        <v>656</v>
      </c>
      <c r="H178" s="2" t="s">
        <v>886</v>
      </c>
      <c r="I178" s="2" t="s">
        <v>249</v>
      </c>
      <c r="J178" s="2">
        <v>2</v>
      </c>
      <c r="AE178" s="2" t="s">
        <v>692</v>
      </c>
      <c r="AF178" s="2">
        <v>16</v>
      </c>
      <c r="AG178" s="2">
        <v>16</v>
      </c>
      <c r="AH178" s="8">
        <v>0.72058562777421775</v>
      </c>
      <c r="AI178" s="8">
        <v>1</v>
      </c>
      <c r="AJ178" s="8">
        <v>0.59027237627762397</v>
      </c>
      <c r="AK178" s="8">
        <f>AVERAGE(AH178:AJ178)</f>
        <v>0.77028600135061387</v>
      </c>
      <c r="AS178" s="10">
        <f>AF178/32</f>
        <v>0.5</v>
      </c>
      <c r="AT178" s="10">
        <f>AG178/28</f>
        <v>0.5714285714285714</v>
      </c>
    </row>
    <row r="179" spans="1:46" x14ac:dyDescent="0.3">
      <c r="A179" s="2" t="s">
        <v>584</v>
      </c>
      <c r="B179" s="2" t="s">
        <v>201</v>
      </c>
      <c r="C179" s="2" t="s">
        <v>249</v>
      </c>
      <c r="D179" s="2" t="s">
        <v>244</v>
      </c>
      <c r="E179" s="2" t="s">
        <v>288</v>
      </c>
      <c r="F179" s="2" t="s">
        <v>664</v>
      </c>
      <c r="G179" s="2" t="s">
        <v>651</v>
      </c>
      <c r="H179" s="2" t="s">
        <v>886</v>
      </c>
      <c r="I179" s="2" t="s">
        <v>249</v>
      </c>
      <c r="J179" s="2">
        <v>2</v>
      </c>
      <c r="AH179" s="8">
        <v>0.75101179387636996</v>
      </c>
      <c r="AI179" s="8">
        <v>0.99955633049597259</v>
      </c>
      <c r="AJ179" s="8">
        <v>0.53622858853020272</v>
      </c>
      <c r="AK179" s="8">
        <f>AVERAGE(AH179:AJ179)</f>
        <v>0.76226557096751513</v>
      </c>
    </row>
    <row r="180" spans="1:46" x14ac:dyDescent="0.3">
      <c r="A180" s="2" t="s">
        <v>588</v>
      </c>
      <c r="B180" s="2" t="s">
        <v>201</v>
      </c>
      <c r="C180" s="2" t="s">
        <v>248</v>
      </c>
      <c r="D180" s="2" t="s">
        <v>635</v>
      </c>
      <c r="E180" s="2" t="s">
        <v>237</v>
      </c>
      <c r="F180" s="2" t="s">
        <v>248</v>
      </c>
      <c r="G180" s="2" t="s">
        <v>656</v>
      </c>
      <c r="H180" s="2" t="s">
        <v>886</v>
      </c>
      <c r="I180" s="2" t="s">
        <v>249</v>
      </c>
      <c r="J180" s="2">
        <v>2</v>
      </c>
      <c r="AE180" s="2">
        <v>2008</v>
      </c>
      <c r="AF180" s="2">
        <v>4</v>
      </c>
      <c r="AG180" s="2">
        <v>4</v>
      </c>
      <c r="AH180" s="8">
        <v>0.69341127847155171</v>
      </c>
      <c r="AI180" s="8">
        <v>1</v>
      </c>
      <c r="AJ180" s="8">
        <v>0.51393491277872161</v>
      </c>
      <c r="AK180" s="8">
        <f>AVERAGE(AH180:AJ180)</f>
        <v>0.73578206375009125</v>
      </c>
      <c r="AS180" s="10">
        <f>AF180/32</f>
        <v>0.125</v>
      </c>
      <c r="AT180" s="10">
        <f>AG180/28</f>
        <v>0.14285714285714285</v>
      </c>
    </row>
    <row r="181" spans="1:46" x14ac:dyDescent="0.3">
      <c r="A181" s="2" t="s">
        <v>453</v>
      </c>
      <c r="B181" s="2" t="s">
        <v>131</v>
      </c>
      <c r="C181" s="2" t="s">
        <v>142</v>
      </c>
      <c r="D181" s="2" t="s">
        <v>142</v>
      </c>
      <c r="E181" s="2" t="s">
        <v>142</v>
      </c>
      <c r="F181" s="2" t="s">
        <v>142</v>
      </c>
      <c r="G181" s="2" t="s">
        <v>651</v>
      </c>
      <c r="H181" s="2" t="s">
        <v>886</v>
      </c>
      <c r="I181" s="2" t="s">
        <v>136</v>
      </c>
      <c r="J181" s="2">
        <v>2</v>
      </c>
      <c r="N181" s="4" t="s">
        <v>662</v>
      </c>
      <c r="P181" s="4" t="s">
        <v>662</v>
      </c>
      <c r="T181" s="2" t="s">
        <v>662</v>
      </c>
      <c r="U181" s="2" t="s">
        <v>725</v>
      </c>
      <c r="V181" s="5" t="s">
        <v>662</v>
      </c>
      <c r="W181" s="5" t="s">
        <v>662</v>
      </c>
      <c r="Y181" s="5" t="s">
        <v>662</v>
      </c>
      <c r="Z181" s="5" t="s">
        <v>662</v>
      </c>
      <c r="AB181" s="5" t="s">
        <v>662</v>
      </c>
      <c r="AC181" s="5" t="s">
        <v>662</v>
      </c>
      <c r="AE181" s="2">
        <v>2004</v>
      </c>
      <c r="AF181" s="2">
        <v>4</v>
      </c>
      <c r="AG181" s="2">
        <v>4</v>
      </c>
      <c r="AH181" s="8">
        <v>0.60073192057294567</v>
      </c>
      <c r="AI181" s="8">
        <v>1</v>
      </c>
      <c r="AJ181" s="8">
        <v>0.60362388747039786</v>
      </c>
      <c r="AK181" s="8">
        <f>AVERAGE(AH181:AJ181)</f>
        <v>0.7347852693477811</v>
      </c>
      <c r="AQ181" s="10">
        <v>0</v>
      </c>
      <c r="AR181" s="10">
        <v>0</v>
      </c>
      <c r="AS181" s="10">
        <f>AF181/32</f>
        <v>0.125</v>
      </c>
      <c r="AT181" s="10">
        <f>AG181/28</f>
        <v>0.14285714285714285</v>
      </c>
    </row>
    <row r="182" spans="1:46" x14ac:dyDescent="0.3">
      <c r="A182" s="2" t="s">
        <v>504</v>
      </c>
      <c r="B182" s="2" t="s">
        <v>167</v>
      </c>
      <c r="C182" s="2" t="s">
        <v>639</v>
      </c>
      <c r="D182" s="2" t="s">
        <v>294</v>
      </c>
      <c r="E182" s="2" t="s">
        <v>294</v>
      </c>
      <c r="F182" s="2" t="s">
        <v>294</v>
      </c>
      <c r="G182" s="2" t="s">
        <v>651</v>
      </c>
      <c r="H182" s="2" t="s">
        <v>886</v>
      </c>
      <c r="I182" s="2" t="s">
        <v>179</v>
      </c>
      <c r="J182" s="2">
        <v>2</v>
      </c>
      <c r="N182" s="4" t="s">
        <v>662</v>
      </c>
      <c r="P182" s="4" t="s">
        <v>662</v>
      </c>
      <c r="T182" s="4" t="s">
        <v>662</v>
      </c>
      <c r="U182" s="4" t="s">
        <v>662</v>
      </c>
      <c r="V182" s="4" t="s">
        <v>662</v>
      </c>
      <c r="W182" s="4" t="s">
        <v>662</v>
      </c>
      <c r="X182" s="4"/>
      <c r="Y182" s="4" t="s">
        <v>662</v>
      </c>
      <c r="Z182" s="4" t="s">
        <v>662</v>
      </c>
      <c r="AB182" s="4" t="s">
        <v>662</v>
      </c>
      <c r="AC182" s="4" t="s">
        <v>662</v>
      </c>
      <c r="AE182" s="4">
        <v>0</v>
      </c>
      <c r="AF182" s="2">
        <v>0</v>
      </c>
      <c r="AG182" s="4">
        <v>0</v>
      </c>
      <c r="AH182" s="8">
        <v>0.72660650147137207</v>
      </c>
      <c r="AI182" s="8">
        <v>1</v>
      </c>
      <c r="AJ182" s="8">
        <v>0.42800244876107052</v>
      </c>
      <c r="AK182" s="8">
        <f>AVERAGE(AH182:AJ182)</f>
        <v>0.71820298341081423</v>
      </c>
      <c r="AT182" s="10">
        <f>AG182/28</f>
        <v>0</v>
      </c>
    </row>
    <row r="183" spans="1:46" x14ac:dyDescent="0.3">
      <c r="A183" s="2" t="s">
        <v>409</v>
      </c>
      <c r="B183" s="2" t="s">
        <v>70</v>
      </c>
      <c r="C183" s="2" t="s">
        <v>102</v>
      </c>
      <c r="D183" s="2" t="s">
        <v>102</v>
      </c>
      <c r="E183" s="3" t="s">
        <v>102</v>
      </c>
      <c r="F183" s="3" t="s">
        <v>662</v>
      </c>
      <c r="G183" s="2" t="s">
        <v>656</v>
      </c>
      <c r="H183" s="2" t="s">
        <v>886</v>
      </c>
      <c r="I183" s="2" t="s">
        <v>74</v>
      </c>
      <c r="J183" s="2">
        <v>2</v>
      </c>
      <c r="AE183" s="2" t="s">
        <v>679</v>
      </c>
      <c r="AF183" s="2">
        <v>8</v>
      </c>
      <c r="AG183" s="2">
        <v>8</v>
      </c>
      <c r="AH183" s="8">
        <v>0.68188258086672204</v>
      </c>
      <c r="AI183" s="8">
        <v>1</v>
      </c>
      <c r="AJ183" s="8">
        <v>0.42681950279440434</v>
      </c>
      <c r="AK183" s="8">
        <f>AVERAGE(AH183:AJ183)</f>
        <v>0.70290069455370885</v>
      </c>
      <c r="AS183" s="10">
        <f>AF183/32</f>
        <v>0.25</v>
      </c>
      <c r="AT183" s="10">
        <f>AG183/28</f>
        <v>0.2857142857142857</v>
      </c>
    </row>
    <row r="184" spans="1:46" x14ac:dyDescent="0.3">
      <c r="A184" s="2" t="s">
        <v>558</v>
      </c>
      <c r="B184" s="2" t="s">
        <v>201</v>
      </c>
      <c r="C184" s="2" t="s">
        <v>247</v>
      </c>
      <c r="D184" s="2" t="s">
        <v>218</v>
      </c>
      <c r="E184" s="2" t="s">
        <v>218</v>
      </c>
      <c r="F184" s="2" t="s">
        <v>218</v>
      </c>
      <c r="G184" s="2" t="s">
        <v>651</v>
      </c>
      <c r="H184" s="2" t="s">
        <v>886</v>
      </c>
      <c r="I184" s="2" t="s">
        <v>247</v>
      </c>
      <c r="J184" s="2">
        <v>2</v>
      </c>
      <c r="AE184" s="2" t="s">
        <v>678</v>
      </c>
      <c r="AF184" s="2">
        <v>8</v>
      </c>
      <c r="AG184" s="2">
        <v>8</v>
      </c>
      <c r="AH184" s="8">
        <v>0.67392631125178093</v>
      </c>
      <c r="AI184" s="8">
        <v>1</v>
      </c>
      <c r="AJ184" s="8">
        <v>0.42152371513473658</v>
      </c>
      <c r="AK184" s="8">
        <f>AVERAGE(AH184:AJ184)</f>
        <v>0.69848334212883911</v>
      </c>
      <c r="AS184" s="10">
        <f>AF184/32</f>
        <v>0.25</v>
      </c>
      <c r="AT184" s="10">
        <f>AG184/28</f>
        <v>0.2857142857142857</v>
      </c>
    </row>
    <row r="185" spans="1:46" x14ac:dyDescent="0.3">
      <c r="A185" s="2">
        <v>4311403</v>
      </c>
      <c r="B185" s="2" t="s">
        <v>167</v>
      </c>
      <c r="C185" s="2" t="s">
        <v>639</v>
      </c>
      <c r="D185" s="2" t="s">
        <v>640</v>
      </c>
      <c r="E185" s="2" t="s">
        <v>640</v>
      </c>
      <c r="F185" s="2" t="s">
        <v>640</v>
      </c>
      <c r="G185" s="2" t="s">
        <v>651</v>
      </c>
      <c r="H185" s="2" t="s">
        <v>886</v>
      </c>
      <c r="I185" s="2" t="s">
        <v>179</v>
      </c>
      <c r="J185" s="2">
        <v>2</v>
      </c>
      <c r="AE185" s="2">
        <v>2016</v>
      </c>
      <c r="AF185" s="2">
        <v>4</v>
      </c>
      <c r="AG185" s="2">
        <v>4</v>
      </c>
      <c r="AH185" s="8">
        <v>0.74063077590023907</v>
      </c>
      <c r="AI185" s="8">
        <v>1</v>
      </c>
      <c r="AJ185" s="8">
        <v>0.2740431641466885</v>
      </c>
      <c r="AK185" s="8">
        <f>AVERAGE(AH185:AJ185)</f>
        <v>0.67155798001564249</v>
      </c>
      <c r="AS185" s="10">
        <f>AF185/32</f>
        <v>0.125</v>
      </c>
      <c r="AT185" s="10">
        <f>AG185/28</f>
        <v>0.14285714285714285</v>
      </c>
    </row>
    <row r="186" spans="1:46" x14ac:dyDescent="0.3">
      <c r="A186" s="2" t="s">
        <v>594</v>
      </c>
      <c r="B186" s="2" t="s">
        <v>201</v>
      </c>
      <c r="C186" s="2" t="s">
        <v>215</v>
      </c>
      <c r="D186" s="2" t="s">
        <v>215</v>
      </c>
      <c r="E186" s="2" t="s">
        <v>243</v>
      </c>
      <c r="F186" s="2" t="s">
        <v>661</v>
      </c>
      <c r="G186" s="2" t="s">
        <v>651</v>
      </c>
      <c r="H186" s="2" t="s">
        <v>886</v>
      </c>
      <c r="I186" s="2" t="s">
        <v>215</v>
      </c>
      <c r="J186" s="2">
        <v>2</v>
      </c>
      <c r="N186" s="4" t="s">
        <v>662</v>
      </c>
      <c r="P186" s="4" t="s">
        <v>662</v>
      </c>
      <c r="T186" s="2" t="s">
        <v>662</v>
      </c>
      <c r="U186" s="2" t="s">
        <v>662</v>
      </c>
      <c r="V186" s="2" t="s">
        <v>662</v>
      </c>
      <c r="W186" s="2" t="s">
        <v>662</v>
      </c>
      <c r="X186" s="2"/>
      <c r="Y186" s="2" t="s">
        <v>662</v>
      </c>
      <c r="Z186" s="2" t="s">
        <v>662</v>
      </c>
      <c r="AB186" s="2" t="s">
        <v>662</v>
      </c>
      <c r="AC186" s="2" t="s">
        <v>662</v>
      </c>
      <c r="AE186" s="2">
        <v>2000</v>
      </c>
      <c r="AF186" s="2">
        <v>4</v>
      </c>
      <c r="AG186" s="2">
        <v>4</v>
      </c>
      <c r="AH186" s="8">
        <v>0.48583761039697992</v>
      </c>
      <c r="AI186" s="8">
        <v>0.94460842798767475</v>
      </c>
      <c r="AJ186" s="8">
        <v>0.56456164408376353</v>
      </c>
      <c r="AK186" s="8">
        <f>AVERAGE(AH186:AJ186)</f>
        <v>0.66500256082280607</v>
      </c>
      <c r="AS186" s="10">
        <f>AF186/32</f>
        <v>0.125</v>
      </c>
      <c r="AT186" s="10">
        <f>AG186/28</f>
        <v>0.14285714285714285</v>
      </c>
    </row>
    <row r="187" spans="1:46" x14ac:dyDescent="0.3">
      <c r="A187" s="2" t="s">
        <v>501</v>
      </c>
      <c r="B187" s="2" t="s">
        <v>167</v>
      </c>
      <c r="C187" s="2" t="s">
        <v>178</v>
      </c>
      <c r="D187" s="2" t="s">
        <v>178</v>
      </c>
      <c r="E187" s="2" t="s">
        <v>178</v>
      </c>
      <c r="F187" s="2" t="s">
        <v>178</v>
      </c>
      <c r="G187" s="2" t="s">
        <v>651</v>
      </c>
      <c r="H187" s="2" t="s">
        <v>886</v>
      </c>
      <c r="I187" s="2" t="s">
        <v>179</v>
      </c>
      <c r="J187" s="2">
        <v>2</v>
      </c>
      <c r="AE187" s="2">
        <v>2004</v>
      </c>
      <c r="AF187" s="2">
        <v>4</v>
      </c>
      <c r="AG187" s="2">
        <v>4</v>
      </c>
      <c r="AH187" s="8">
        <v>0.65076703555561444</v>
      </c>
      <c r="AI187" s="8">
        <v>1</v>
      </c>
      <c r="AJ187" s="8">
        <v>0.3390735524016581</v>
      </c>
      <c r="AK187" s="8">
        <f>AVERAGE(AH187:AJ187)</f>
        <v>0.6632801959857576</v>
      </c>
      <c r="AS187" s="10">
        <f>AF187/32</f>
        <v>0.125</v>
      </c>
      <c r="AT187" s="10">
        <f>AG187/28</f>
        <v>0.14285714285714285</v>
      </c>
    </row>
    <row r="188" spans="1:46" x14ac:dyDescent="0.3">
      <c r="A188" s="2" t="s">
        <v>565</v>
      </c>
      <c r="B188" s="2" t="s">
        <v>201</v>
      </c>
      <c r="C188" s="2" t="s">
        <v>241</v>
      </c>
      <c r="D188" s="2" t="s">
        <v>220</v>
      </c>
      <c r="E188" s="2" t="s">
        <v>220</v>
      </c>
      <c r="F188" s="2" t="s">
        <v>220</v>
      </c>
      <c r="G188" s="2" t="s">
        <v>651</v>
      </c>
      <c r="H188" s="2" t="s">
        <v>886</v>
      </c>
      <c r="I188" s="2" t="s">
        <v>249</v>
      </c>
      <c r="J188" s="2">
        <v>2</v>
      </c>
      <c r="AE188" s="2" t="s">
        <v>689</v>
      </c>
      <c r="AF188" s="2">
        <v>12</v>
      </c>
      <c r="AG188" s="2">
        <v>12</v>
      </c>
      <c r="AH188" s="8">
        <v>0.69047095562238892</v>
      </c>
      <c r="AI188" s="8">
        <v>1</v>
      </c>
      <c r="AJ188" s="8">
        <v>0.26160106664269878</v>
      </c>
      <c r="AK188" s="8">
        <f>AVERAGE(AH188:AJ188)</f>
        <v>0.65069067408836256</v>
      </c>
      <c r="AS188" s="10">
        <f>AF188/32</f>
        <v>0.375</v>
      </c>
      <c r="AT188" s="10">
        <f>AG188/28</f>
        <v>0.42857142857142855</v>
      </c>
    </row>
    <row r="189" spans="1:46" x14ac:dyDescent="0.3">
      <c r="A189" s="2" t="s">
        <v>534</v>
      </c>
      <c r="B189" s="2" t="s">
        <v>186</v>
      </c>
      <c r="C189" s="2" t="s">
        <v>191</v>
      </c>
      <c r="D189" s="2" t="s">
        <v>266</v>
      </c>
      <c r="E189" s="2" t="s">
        <v>266</v>
      </c>
      <c r="F189" s="2" t="s">
        <v>669</v>
      </c>
      <c r="G189" s="2" t="s">
        <v>651</v>
      </c>
      <c r="H189" s="2" t="s">
        <v>886</v>
      </c>
      <c r="I189" s="2" t="s">
        <v>191</v>
      </c>
      <c r="J189" s="2">
        <v>3</v>
      </c>
      <c r="AE189" s="2">
        <v>2016</v>
      </c>
      <c r="AF189" s="2">
        <v>4</v>
      </c>
      <c r="AG189" s="2">
        <v>4</v>
      </c>
      <c r="AH189" s="8">
        <v>0.54223782479714688</v>
      </c>
      <c r="AI189" s="8">
        <v>1</v>
      </c>
      <c r="AJ189" s="8">
        <v>0.40793137127610002</v>
      </c>
      <c r="AK189" s="8">
        <f>AVERAGE(AH189:AJ189)</f>
        <v>0.65005639869108223</v>
      </c>
      <c r="AS189" s="10">
        <f>AF189/32</f>
        <v>0.125</v>
      </c>
      <c r="AT189" s="10">
        <f>AG189/28</f>
        <v>0.14285714285714285</v>
      </c>
    </row>
    <row r="190" spans="1:46" x14ac:dyDescent="0.3">
      <c r="A190" s="2" t="s">
        <v>358</v>
      </c>
      <c r="B190" s="2" t="s">
        <v>58</v>
      </c>
      <c r="C190" s="2" t="s">
        <v>62</v>
      </c>
      <c r="D190" s="2" t="s">
        <v>60</v>
      </c>
      <c r="E190" s="3" t="s">
        <v>60</v>
      </c>
      <c r="F190" s="3" t="s">
        <v>662</v>
      </c>
      <c r="G190" s="2" t="s">
        <v>651</v>
      </c>
      <c r="H190" s="2" t="s">
        <v>886</v>
      </c>
      <c r="I190" s="2" t="s">
        <v>62</v>
      </c>
      <c r="J190" s="2">
        <v>2</v>
      </c>
      <c r="AE190" s="2" t="s">
        <v>679</v>
      </c>
      <c r="AF190" s="2">
        <v>8</v>
      </c>
      <c r="AG190" s="2">
        <v>8</v>
      </c>
      <c r="AH190" s="8">
        <v>0.59872621276907889</v>
      </c>
      <c r="AI190" s="8">
        <v>1</v>
      </c>
      <c r="AJ190" s="8">
        <v>0.35108717284121843</v>
      </c>
      <c r="AK190" s="8">
        <f>AVERAGE(AH190:AJ190)</f>
        <v>0.64993779520343242</v>
      </c>
      <c r="AS190" s="10">
        <f>AF190/32</f>
        <v>0.25</v>
      </c>
      <c r="AT190" s="10">
        <f>AG190/28</f>
        <v>0.2857142857142857</v>
      </c>
    </row>
    <row r="191" spans="1:46" x14ac:dyDescent="0.3">
      <c r="A191" s="2" t="s">
        <v>471</v>
      </c>
      <c r="B191" s="2" t="s">
        <v>146</v>
      </c>
      <c r="C191" s="2" t="s">
        <v>627</v>
      </c>
      <c r="D191" s="2" t="s">
        <v>629</v>
      </c>
      <c r="E191" s="2" t="s">
        <v>281</v>
      </c>
      <c r="F191" s="2" t="s">
        <v>629</v>
      </c>
      <c r="G191" s="2" t="s">
        <v>651</v>
      </c>
      <c r="H191" s="2" t="s">
        <v>886</v>
      </c>
      <c r="I191" s="2" t="s">
        <v>155</v>
      </c>
      <c r="J191" s="2">
        <v>2</v>
      </c>
      <c r="AH191" s="8">
        <v>0.67688949420685063</v>
      </c>
      <c r="AI191" s="8">
        <v>0.70134160294383185</v>
      </c>
      <c r="AJ191" s="8">
        <v>0.56688419344063656</v>
      </c>
      <c r="AK191" s="8">
        <f>AVERAGE(AH191:AJ191)</f>
        <v>0.64837176353043968</v>
      </c>
    </row>
    <row r="192" spans="1:46" x14ac:dyDescent="0.3">
      <c r="A192" s="2" t="s">
        <v>541</v>
      </c>
      <c r="B192" s="2" t="s">
        <v>201</v>
      </c>
      <c r="C192" s="2" t="s">
        <v>205</v>
      </c>
      <c r="D192" s="2" t="s">
        <v>205</v>
      </c>
      <c r="E192" s="2" t="s">
        <v>205</v>
      </c>
      <c r="F192" s="2" t="s">
        <v>662</v>
      </c>
      <c r="G192" s="2" t="s">
        <v>651</v>
      </c>
      <c r="H192" s="2" t="s">
        <v>886</v>
      </c>
      <c r="I192" s="2" t="s">
        <v>247</v>
      </c>
      <c r="J192" s="2">
        <v>2</v>
      </c>
      <c r="AE192" s="2" t="s">
        <v>693</v>
      </c>
      <c r="AF192" s="2">
        <v>8</v>
      </c>
      <c r="AG192" s="2">
        <v>8</v>
      </c>
      <c r="AH192" s="8">
        <v>0.63641404320570139</v>
      </c>
      <c r="AI192" s="8">
        <v>1</v>
      </c>
      <c r="AJ192" s="8">
        <v>0.28690814773515605</v>
      </c>
      <c r="AK192" s="8">
        <f>AVERAGE(AH192:AJ192)</f>
        <v>0.64110739698028585</v>
      </c>
      <c r="AS192" s="10">
        <f>AF192/32</f>
        <v>0.25</v>
      </c>
      <c r="AT192" s="10">
        <f>AG192/28</f>
        <v>0.2857142857142857</v>
      </c>
    </row>
    <row r="193" spans="1:46" x14ac:dyDescent="0.3">
      <c r="A193" s="2" t="s">
        <v>401</v>
      </c>
      <c r="B193" s="2" t="s">
        <v>70</v>
      </c>
      <c r="C193" s="2" t="s">
        <v>95</v>
      </c>
      <c r="D193" s="2" t="s">
        <v>94</v>
      </c>
      <c r="E193" s="3" t="s">
        <v>94</v>
      </c>
      <c r="F193" s="3" t="s">
        <v>662</v>
      </c>
      <c r="G193" s="2" t="s">
        <v>651</v>
      </c>
      <c r="H193" s="2" t="s">
        <v>886</v>
      </c>
      <c r="I193" s="2" t="s">
        <v>728</v>
      </c>
      <c r="J193" s="2">
        <v>2</v>
      </c>
      <c r="AE193" s="2">
        <v>2004</v>
      </c>
      <c r="AF193" s="2">
        <v>4</v>
      </c>
      <c r="AG193" s="2">
        <v>4</v>
      </c>
      <c r="AH193" s="8">
        <v>0.60815543125006655</v>
      </c>
      <c r="AI193" s="8">
        <v>1</v>
      </c>
      <c r="AJ193" s="8">
        <v>0.29366462572030366</v>
      </c>
      <c r="AK193" s="8">
        <f>AVERAGE(AH193:AJ193)</f>
        <v>0.63394001899012342</v>
      </c>
      <c r="AS193" s="10">
        <f>AF193/32</f>
        <v>0.125</v>
      </c>
      <c r="AT193" s="10">
        <f>AG193/28</f>
        <v>0.14285714285714285</v>
      </c>
    </row>
    <row r="194" spans="1:46" x14ac:dyDescent="0.3">
      <c r="A194" s="2" t="s">
        <v>410</v>
      </c>
      <c r="B194" s="2" t="s">
        <v>70</v>
      </c>
      <c r="C194" s="2" t="s">
        <v>98</v>
      </c>
      <c r="D194" s="2" t="s">
        <v>98</v>
      </c>
      <c r="E194" s="3" t="s">
        <v>98</v>
      </c>
      <c r="F194" s="3" t="s">
        <v>662</v>
      </c>
      <c r="G194" s="2" t="s">
        <v>651</v>
      </c>
      <c r="H194" s="2" t="s">
        <v>886</v>
      </c>
      <c r="I194" s="2" t="s">
        <v>728</v>
      </c>
      <c r="J194" s="2">
        <v>2</v>
      </c>
      <c r="AE194" s="2" t="s">
        <v>679</v>
      </c>
      <c r="AF194" s="2">
        <v>8</v>
      </c>
      <c r="AG194" s="2">
        <v>8</v>
      </c>
      <c r="AH194" s="8">
        <v>0.64263594268737267</v>
      </c>
      <c r="AI194" s="8">
        <v>1</v>
      </c>
      <c r="AJ194" s="8">
        <v>0.23279841627371348</v>
      </c>
      <c r="AK194" s="8">
        <f>AVERAGE(AH194:AJ194)</f>
        <v>0.62514478632036208</v>
      </c>
      <c r="AS194" s="10">
        <f>AF194/32</f>
        <v>0.25</v>
      </c>
      <c r="AT194" s="10">
        <f>AG194/28</f>
        <v>0.2857142857142857</v>
      </c>
    </row>
    <row r="195" spans="1:46" x14ac:dyDescent="0.3">
      <c r="A195" s="2" t="s">
        <v>430</v>
      </c>
      <c r="B195" s="2" t="s">
        <v>117</v>
      </c>
      <c r="C195" s="2" t="s">
        <v>120</v>
      </c>
      <c r="D195" s="2" t="s">
        <v>121</v>
      </c>
      <c r="E195" s="2" t="s">
        <v>121</v>
      </c>
      <c r="F195" s="2" t="s">
        <v>662</v>
      </c>
      <c r="G195" s="2" t="s">
        <v>651</v>
      </c>
      <c r="H195" s="2" t="s">
        <v>886</v>
      </c>
      <c r="I195" s="2" t="s">
        <v>124</v>
      </c>
      <c r="J195" s="2">
        <v>3</v>
      </c>
      <c r="AE195" s="2">
        <v>2004</v>
      </c>
      <c r="AF195" s="2">
        <v>4</v>
      </c>
      <c r="AG195" s="2">
        <v>4</v>
      </c>
      <c r="AH195" s="8">
        <v>0.55668360122790106</v>
      </c>
      <c r="AI195" s="8">
        <v>0.73677471726321975</v>
      </c>
      <c r="AJ195" s="8">
        <v>0.49718672112395274</v>
      </c>
      <c r="AK195" s="8">
        <f>AVERAGE(AH195:AJ195)</f>
        <v>0.59688167987169116</v>
      </c>
      <c r="AS195" s="10">
        <f>AF195/32</f>
        <v>0.125</v>
      </c>
      <c r="AT195" s="10">
        <f>AG195/28</f>
        <v>0.14285714285714285</v>
      </c>
    </row>
    <row r="196" spans="1:46" x14ac:dyDescent="0.3">
      <c r="A196" s="2" t="s">
        <v>500</v>
      </c>
      <c r="B196" s="2" t="s">
        <v>167</v>
      </c>
      <c r="C196" s="2" t="s">
        <v>177</v>
      </c>
      <c r="D196" s="2" t="s">
        <v>177</v>
      </c>
      <c r="E196" s="2" t="s">
        <v>177</v>
      </c>
      <c r="F196" s="2" t="s">
        <v>662</v>
      </c>
      <c r="G196" s="2" t="s">
        <v>656</v>
      </c>
      <c r="H196" s="2" t="s">
        <v>886</v>
      </c>
      <c r="I196" s="2" t="s">
        <v>179</v>
      </c>
      <c r="J196" s="2">
        <v>2</v>
      </c>
      <c r="AE196" s="2">
        <v>2004</v>
      </c>
      <c r="AF196" s="2">
        <v>4</v>
      </c>
      <c r="AG196" s="2">
        <v>4</v>
      </c>
      <c r="AH196" s="8">
        <v>0.50433683965378373</v>
      </c>
      <c r="AI196" s="8">
        <v>1</v>
      </c>
      <c r="AJ196" s="8">
        <v>0.28122042226397065</v>
      </c>
      <c r="AK196" s="8">
        <f>AVERAGE(AH196:AJ196)</f>
        <v>0.59518575397258477</v>
      </c>
      <c r="AS196" s="10">
        <f>AF196/32</f>
        <v>0.125</v>
      </c>
      <c r="AT196" s="10">
        <f>AG196/28</f>
        <v>0.14285714285714285</v>
      </c>
    </row>
    <row r="197" spans="1:46" x14ac:dyDescent="0.3">
      <c r="A197" s="2" t="s">
        <v>552</v>
      </c>
      <c r="B197" s="2" t="s">
        <v>201</v>
      </c>
      <c r="C197" s="2" t="s">
        <v>248</v>
      </c>
      <c r="D197" s="2" t="s">
        <v>248</v>
      </c>
      <c r="E197" s="2" t="s">
        <v>213</v>
      </c>
      <c r="F197" s="2" t="s">
        <v>248</v>
      </c>
      <c r="G197" s="2" t="s">
        <v>656</v>
      </c>
      <c r="H197" s="2" t="s">
        <v>886</v>
      </c>
      <c r="I197" s="2" t="s">
        <v>249</v>
      </c>
      <c r="J197" s="2">
        <v>2</v>
      </c>
      <c r="AE197" s="2">
        <v>2000</v>
      </c>
      <c r="AF197" s="2">
        <v>4</v>
      </c>
      <c r="AG197" s="2">
        <v>4</v>
      </c>
      <c r="AH197" s="8">
        <v>0.51741726439792479</v>
      </c>
      <c r="AI197" s="8">
        <v>1</v>
      </c>
      <c r="AJ197" s="8">
        <v>0.26382913530454782</v>
      </c>
      <c r="AK197" s="8">
        <f>AVERAGE(AH197:AJ197)</f>
        <v>0.5937487999008243</v>
      </c>
      <c r="AS197" s="10">
        <f>AF197/32</f>
        <v>0.125</v>
      </c>
      <c r="AT197" s="10">
        <f>AG197/28</f>
        <v>0.14285714285714285</v>
      </c>
    </row>
    <row r="198" spans="1:46" x14ac:dyDescent="0.3">
      <c r="A198" s="2" t="s">
        <v>446</v>
      </c>
      <c r="B198" s="2" t="s">
        <v>131</v>
      </c>
      <c r="C198" s="2" t="s">
        <v>135</v>
      </c>
      <c r="D198" s="2" t="s">
        <v>137</v>
      </c>
      <c r="E198" s="2" t="s">
        <v>137</v>
      </c>
      <c r="F198" s="2" t="s">
        <v>666</v>
      </c>
      <c r="G198" s="2" t="s">
        <v>651</v>
      </c>
      <c r="H198" s="2" t="s">
        <v>886</v>
      </c>
      <c r="I198" s="2" t="s">
        <v>135</v>
      </c>
      <c r="J198" s="2">
        <v>2</v>
      </c>
      <c r="AE198" s="2">
        <v>2004</v>
      </c>
      <c r="AF198" s="2">
        <v>4</v>
      </c>
      <c r="AG198" s="2">
        <v>4</v>
      </c>
      <c r="AH198" s="8">
        <v>0.53446351300964268</v>
      </c>
      <c r="AI198" s="8">
        <v>0.88507546131815196</v>
      </c>
      <c r="AJ198" s="8">
        <v>0.33083710589975035</v>
      </c>
      <c r="AK198" s="8">
        <f>AVERAGE(AH198:AJ198)</f>
        <v>0.58345869340918166</v>
      </c>
      <c r="AS198" s="10">
        <f>AF198/32</f>
        <v>0.125</v>
      </c>
      <c r="AT198" s="10">
        <f>AG198/28</f>
        <v>0.14285714285714285</v>
      </c>
    </row>
    <row r="199" spans="1:46" x14ac:dyDescent="0.3">
      <c r="A199" s="2" t="s">
        <v>538</v>
      </c>
      <c r="B199" s="2" t="s">
        <v>201</v>
      </c>
      <c r="C199" s="2" t="s">
        <v>215</v>
      </c>
      <c r="D199" s="2" t="s">
        <v>215</v>
      </c>
      <c r="E199" s="2" t="s">
        <v>202</v>
      </c>
      <c r="F199" s="2" t="s">
        <v>661</v>
      </c>
      <c r="G199" s="2" t="s">
        <v>651</v>
      </c>
      <c r="H199" s="2" t="s">
        <v>886</v>
      </c>
      <c r="I199" s="2" t="s">
        <v>731</v>
      </c>
      <c r="J199" s="2">
        <v>2</v>
      </c>
      <c r="AE199" s="2">
        <v>2000</v>
      </c>
      <c r="AF199" s="2">
        <v>4</v>
      </c>
      <c r="AG199" s="2">
        <v>4</v>
      </c>
      <c r="AH199" s="8">
        <v>0.44184560594418087</v>
      </c>
      <c r="AI199" s="8">
        <v>1</v>
      </c>
      <c r="AJ199" s="8">
        <v>0.30257780159220082</v>
      </c>
      <c r="AK199" s="8">
        <f>AVERAGE(AH199:AJ199)</f>
        <v>0.58147446917879397</v>
      </c>
      <c r="AS199" s="10">
        <f>AF199/32</f>
        <v>0.125</v>
      </c>
      <c r="AT199" s="10">
        <f>AG199/28</f>
        <v>0.14285714285714285</v>
      </c>
    </row>
    <row r="200" spans="1:46" x14ac:dyDescent="0.3">
      <c r="A200" s="2" t="s">
        <v>555</v>
      </c>
      <c r="B200" s="2" t="s">
        <v>201</v>
      </c>
      <c r="C200" s="2" t="s">
        <v>215</v>
      </c>
      <c r="D200" s="2" t="s">
        <v>229</v>
      </c>
      <c r="E200" s="2" t="s">
        <v>216</v>
      </c>
      <c r="F200" s="2" t="s">
        <v>229</v>
      </c>
      <c r="G200" s="2" t="s">
        <v>651</v>
      </c>
      <c r="H200" s="2" t="s">
        <v>886</v>
      </c>
      <c r="I200" s="2" t="s">
        <v>249</v>
      </c>
      <c r="J200" s="2">
        <v>2</v>
      </c>
      <c r="AE200" s="2">
        <v>2012</v>
      </c>
      <c r="AF200" s="2">
        <v>4</v>
      </c>
      <c r="AG200" s="2">
        <v>4</v>
      </c>
      <c r="AH200" s="8">
        <v>0.4782239772498057</v>
      </c>
      <c r="AI200" s="8">
        <v>0.99829861810923648</v>
      </c>
      <c r="AJ200" s="8">
        <v>0.25072787911088479</v>
      </c>
      <c r="AK200" s="8">
        <f>AVERAGE(AH200:AJ200)</f>
        <v>0.57575015815664232</v>
      </c>
      <c r="AS200" s="10">
        <f>AF200/32</f>
        <v>0.125</v>
      </c>
      <c r="AT200" s="10">
        <f>AG200/28</f>
        <v>0.14285714285714285</v>
      </c>
    </row>
    <row r="201" spans="1:46" x14ac:dyDescent="0.3">
      <c r="A201" s="2" t="s">
        <v>551</v>
      </c>
      <c r="B201" s="2" t="s">
        <v>201</v>
      </c>
      <c r="C201" s="2" t="s">
        <v>241</v>
      </c>
      <c r="D201" s="2" t="s">
        <v>241</v>
      </c>
      <c r="E201" s="2" t="s">
        <v>283</v>
      </c>
      <c r="F201" s="2" t="s">
        <v>241</v>
      </c>
      <c r="G201" s="2" t="s">
        <v>652</v>
      </c>
      <c r="H201" s="2" t="s">
        <v>886</v>
      </c>
      <c r="I201" s="2" t="s">
        <v>249</v>
      </c>
      <c r="J201" s="2">
        <v>2</v>
      </c>
      <c r="AH201" s="8">
        <v>0.47994745157401336</v>
      </c>
      <c r="AI201" s="8">
        <v>0.9497464583091072</v>
      </c>
      <c r="AJ201" s="8">
        <v>0.29461475142340721</v>
      </c>
      <c r="AK201" s="8">
        <f>AVERAGE(AH201:AJ201)</f>
        <v>0.57476955376884253</v>
      </c>
    </row>
    <row r="202" spans="1:46" x14ac:dyDescent="0.3">
      <c r="A202" s="2" t="s">
        <v>532</v>
      </c>
      <c r="B202" s="2" t="s">
        <v>186</v>
      </c>
      <c r="C202" s="2" t="s">
        <v>194</v>
      </c>
      <c r="D202" s="2" t="s">
        <v>194</v>
      </c>
      <c r="E202" s="2" t="s">
        <v>302</v>
      </c>
      <c r="F202" s="2" t="s">
        <v>662</v>
      </c>
      <c r="G202" s="2" t="s">
        <v>656</v>
      </c>
      <c r="H202" s="2" t="s">
        <v>886</v>
      </c>
      <c r="I202" s="2" t="s">
        <v>194</v>
      </c>
      <c r="J202" s="2">
        <v>3</v>
      </c>
      <c r="AH202" s="8">
        <v>0.58339350399508061</v>
      </c>
      <c r="AI202" s="8">
        <v>0.93006313709700827</v>
      </c>
      <c r="AJ202" s="8">
        <v>0.19372575557595476</v>
      </c>
      <c r="AK202" s="8">
        <f>AVERAGE(AH202:AJ202)</f>
        <v>0.56906079888934791</v>
      </c>
    </row>
    <row r="203" spans="1:46" x14ac:dyDescent="0.3">
      <c r="A203" s="2" t="s">
        <v>612</v>
      </c>
      <c r="B203" s="2" t="s">
        <v>201</v>
      </c>
      <c r="C203" s="2" t="s">
        <v>215</v>
      </c>
      <c r="D203" s="2" t="s">
        <v>229</v>
      </c>
      <c r="E203" s="2" t="s">
        <v>255</v>
      </c>
      <c r="F203" s="2" t="s">
        <v>229</v>
      </c>
      <c r="G203" s="2" t="s">
        <v>651</v>
      </c>
      <c r="H203" s="2" t="s">
        <v>886</v>
      </c>
      <c r="I203" s="2" t="s">
        <v>249</v>
      </c>
      <c r="J203" s="2">
        <v>2</v>
      </c>
      <c r="AE203" s="2" t="s">
        <v>682</v>
      </c>
      <c r="AF203" s="2">
        <v>8</v>
      </c>
      <c r="AG203" s="2">
        <v>8</v>
      </c>
      <c r="AH203" s="8">
        <v>0.48414852867609609</v>
      </c>
      <c r="AI203" s="8">
        <v>0.97980790106640325</v>
      </c>
      <c r="AJ203" s="8">
        <v>0.24210749168286758</v>
      </c>
      <c r="AK203" s="8">
        <f>AVERAGE(AH203:AJ203)</f>
        <v>0.5686879738084557</v>
      </c>
      <c r="AS203" s="10">
        <f>AF203/32</f>
        <v>0.25</v>
      </c>
      <c r="AT203" s="10">
        <f>AG203/28</f>
        <v>0.2857142857142857</v>
      </c>
    </row>
    <row r="204" spans="1:46" x14ac:dyDescent="0.3">
      <c r="A204" s="2" t="s">
        <v>476</v>
      </c>
      <c r="B204" s="2" t="s">
        <v>146</v>
      </c>
      <c r="C204" s="2" t="s">
        <v>628</v>
      </c>
      <c r="D204" s="2" t="s">
        <v>628</v>
      </c>
      <c r="E204" s="2" t="s">
        <v>158</v>
      </c>
      <c r="F204" s="2" t="s">
        <v>628</v>
      </c>
      <c r="G204" s="2" t="s">
        <v>651</v>
      </c>
      <c r="H204" s="2" t="s">
        <v>886</v>
      </c>
      <c r="I204" s="2" t="s">
        <v>155</v>
      </c>
      <c r="J204" s="2">
        <v>2</v>
      </c>
      <c r="AE204" s="2" t="s">
        <v>696</v>
      </c>
      <c r="AF204" s="2">
        <v>28</v>
      </c>
      <c r="AG204" s="2">
        <v>28</v>
      </c>
      <c r="AH204" s="8">
        <v>0.46881295858058675</v>
      </c>
      <c r="AI204" s="8">
        <v>0.92515967607035565</v>
      </c>
      <c r="AJ204" s="8">
        <v>0.27073181649988132</v>
      </c>
      <c r="AK204" s="8">
        <f>AVERAGE(AH204:AJ204)</f>
        <v>0.55490148371694126</v>
      </c>
      <c r="AS204" s="10">
        <f>AF204/32</f>
        <v>0.875</v>
      </c>
      <c r="AT204" s="10">
        <f>AG204/28</f>
        <v>1</v>
      </c>
    </row>
    <row r="205" spans="1:46" x14ac:dyDescent="0.3">
      <c r="A205" s="2" t="s">
        <v>407</v>
      </c>
      <c r="B205" s="2" t="s">
        <v>70</v>
      </c>
      <c r="C205" s="2" t="s">
        <v>82</v>
      </c>
      <c r="D205" s="2" t="s">
        <v>82</v>
      </c>
      <c r="E205" s="3" t="s">
        <v>842</v>
      </c>
      <c r="F205" s="3" t="s">
        <v>82</v>
      </c>
      <c r="G205" s="2" t="s">
        <v>651</v>
      </c>
      <c r="H205" s="2" t="s">
        <v>886</v>
      </c>
      <c r="I205" s="2" t="s">
        <v>74</v>
      </c>
      <c r="J205" s="2">
        <v>2</v>
      </c>
      <c r="N205" s="4" t="s">
        <v>662</v>
      </c>
      <c r="P205" s="4" t="s">
        <v>662</v>
      </c>
      <c r="T205" s="4" t="s">
        <v>662</v>
      </c>
      <c r="U205" s="2" t="s">
        <v>725</v>
      </c>
      <c r="V205" s="5" t="s">
        <v>662</v>
      </c>
      <c r="W205" s="5" t="s">
        <v>662</v>
      </c>
      <c r="Y205" s="5" t="s">
        <v>662</v>
      </c>
      <c r="Z205" s="5" t="s">
        <v>662</v>
      </c>
      <c r="AB205" s="5" t="s">
        <v>662</v>
      </c>
      <c r="AC205" s="5" t="s">
        <v>662</v>
      </c>
      <c r="AE205" s="2">
        <v>2010</v>
      </c>
      <c r="AF205" s="2">
        <v>4</v>
      </c>
      <c r="AG205" s="2">
        <v>4</v>
      </c>
      <c r="AH205" s="8">
        <v>0.39851244244214168</v>
      </c>
      <c r="AI205" s="8">
        <v>0.98947626692537238</v>
      </c>
      <c r="AJ205" s="8">
        <v>0.26939897304785182</v>
      </c>
      <c r="AK205" s="8">
        <f>AVERAGE(AH205:AJ205)</f>
        <v>0.55246256080512202</v>
      </c>
      <c r="AQ205" s="10">
        <v>0</v>
      </c>
      <c r="AR205" s="10">
        <v>0</v>
      </c>
      <c r="AS205" s="10">
        <f>AF205/32</f>
        <v>0.125</v>
      </c>
      <c r="AT205" s="10">
        <f>AG205/28</f>
        <v>0.14285714285714285</v>
      </c>
    </row>
    <row r="206" spans="1:46" x14ac:dyDescent="0.3">
      <c r="A206" s="2" t="s">
        <v>605</v>
      </c>
      <c r="B206" s="2" t="s">
        <v>201</v>
      </c>
      <c r="C206" s="2" t="s">
        <v>249</v>
      </c>
      <c r="D206" s="2" t="s">
        <v>244</v>
      </c>
      <c r="E206" s="2" t="s">
        <v>251</v>
      </c>
      <c r="F206" s="2" t="s">
        <v>664</v>
      </c>
      <c r="G206" s="2" t="s">
        <v>651</v>
      </c>
      <c r="H206" s="2" t="s">
        <v>886</v>
      </c>
      <c r="I206" s="2" t="s">
        <v>249</v>
      </c>
      <c r="J206" s="2">
        <v>2</v>
      </c>
      <c r="AE206" s="2">
        <v>1996</v>
      </c>
      <c r="AF206" s="2">
        <v>4</v>
      </c>
      <c r="AG206" s="2">
        <v>4</v>
      </c>
      <c r="AH206" s="8">
        <v>0.40957145516144206</v>
      </c>
      <c r="AI206" s="8">
        <v>1</v>
      </c>
      <c r="AJ206" s="8">
        <v>0.20852750572932577</v>
      </c>
      <c r="AK206" s="8">
        <f>AVERAGE(AH206:AJ206)</f>
        <v>0.53936632029692255</v>
      </c>
      <c r="AS206" s="10">
        <f>AF206/32</f>
        <v>0.125</v>
      </c>
      <c r="AT206" s="10">
        <f>AG206/28</f>
        <v>0.14285714285714285</v>
      </c>
    </row>
    <row r="207" spans="1:46" x14ac:dyDescent="0.3">
      <c r="A207" s="2" t="s">
        <v>381</v>
      </c>
      <c r="B207" s="2" t="s">
        <v>70</v>
      </c>
      <c r="C207" s="2" t="s">
        <v>82</v>
      </c>
      <c r="D207" s="2" t="s">
        <v>82</v>
      </c>
      <c r="E207" s="3" t="s">
        <v>76</v>
      </c>
      <c r="F207" s="3" t="s">
        <v>82</v>
      </c>
      <c r="G207" s="2" t="s">
        <v>651</v>
      </c>
      <c r="H207" s="2" t="s">
        <v>886</v>
      </c>
      <c r="I207" s="2" t="s">
        <v>74</v>
      </c>
      <c r="J207" s="2">
        <v>2</v>
      </c>
      <c r="AE207" s="2" t="s">
        <v>686</v>
      </c>
      <c r="AF207" s="2">
        <v>12</v>
      </c>
      <c r="AG207" s="2">
        <v>12</v>
      </c>
      <c r="AH207" s="8">
        <v>0.66167854593174324</v>
      </c>
      <c r="AI207" s="8">
        <v>0.41882450744504734</v>
      </c>
      <c r="AJ207" s="8">
        <v>0.51377351642564106</v>
      </c>
      <c r="AK207" s="8">
        <f>AVERAGE(AH207:AJ207)</f>
        <v>0.53142552326747727</v>
      </c>
      <c r="AS207" s="10">
        <f>AF207/32</f>
        <v>0.375</v>
      </c>
      <c r="AT207" s="10">
        <f>AG207/28</f>
        <v>0.42857142857142855</v>
      </c>
    </row>
    <row r="208" spans="1:46" x14ac:dyDescent="0.3">
      <c r="A208" s="2" t="s">
        <v>422</v>
      </c>
      <c r="B208" s="2" t="s">
        <v>108</v>
      </c>
      <c r="C208" s="2" t="s">
        <v>112</v>
      </c>
      <c r="D208" s="2" t="s">
        <v>112</v>
      </c>
      <c r="E208" s="2" t="s">
        <v>112</v>
      </c>
      <c r="F208" s="2" t="s">
        <v>662</v>
      </c>
      <c r="G208" s="2" t="s">
        <v>651</v>
      </c>
      <c r="H208" s="2" t="s">
        <v>886</v>
      </c>
      <c r="I208" s="2" t="s">
        <v>110</v>
      </c>
      <c r="J208" s="2">
        <v>3</v>
      </c>
      <c r="AE208" s="2" t="s">
        <v>682</v>
      </c>
      <c r="AF208" s="2">
        <v>8</v>
      </c>
      <c r="AG208" s="2">
        <v>8</v>
      </c>
      <c r="AH208" s="8">
        <v>0.44513953394361844</v>
      </c>
      <c r="AI208" s="8">
        <v>0.40733415260215378</v>
      </c>
      <c r="AJ208" s="8">
        <v>0.73563657952609052</v>
      </c>
      <c r="AK208" s="8">
        <f>AVERAGE(AH208:AJ208)</f>
        <v>0.52937008869062085</v>
      </c>
      <c r="AS208" s="10">
        <f>AF208/32</f>
        <v>0.25</v>
      </c>
      <c r="AT208" s="10">
        <f>AG208/28</f>
        <v>0.2857142857142857</v>
      </c>
    </row>
    <row r="209" spans="1:46" x14ac:dyDescent="0.3">
      <c r="A209" s="2" t="s">
        <v>368</v>
      </c>
      <c r="B209" s="2" t="s">
        <v>63</v>
      </c>
      <c r="C209" s="2" t="s">
        <v>65</v>
      </c>
      <c r="D209" s="2" t="s">
        <v>65</v>
      </c>
      <c r="E209" s="3" t="s">
        <v>65</v>
      </c>
      <c r="F209" s="3" t="s">
        <v>65</v>
      </c>
      <c r="G209" s="2" t="s">
        <v>651</v>
      </c>
      <c r="H209" s="2" t="s">
        <v>886</v>
      </c>
      <c r="I209" s="2" t="s">
        <v>67</v>
      </c>
      <c r="J209" s="2">
        <v>2</v>
      </c>
      <c r="AE209" s="2">
        <v>2004</v>
      </c>
      <c r="AF209" s="2">
        <v>4</v>
      </c>
      <c r="AG209" s="2">
        <v>4</v>
      </c>
      <c r="AH209" s="8">
        <v>0.39550619395573422</v>
      </c>
      <c r="AI209" s="8">
        <v>0.82691501622185759</v>
      </c>
      <c r="AJ209" s="8">
        <v>0.286760856749187</v>
      </c>
      <c r="AK209" s="8">
        <f>AVERAGE(AH209:AJ209)</f>
        <v>0.50306068897559297</v>
      </c>
      <c r="AS209" s="10">
        <f>AF209/32</f>
        <v>0.125</v>
      </c>
      <c r="AT209" s="10">
        <f>AG209/28</f>
        <v>0.14285714285714285</v>
      </c>
    </row>
    <row r="210" spans="1:46" x14ac:dyDescent="0.3">
      <c r="A210" s="2" t="s">
        <v>461</v>
      </c>
      <c r="B210" s="2" t="s">
        <v>146</v>
      </c>
      <c r="C210" s="2" t="s">
        <v>628</v>
      </c>
      <c r="D210" s="2" t="s">
        <v>628</v>
      </c>
      <c r="E210" s="2" t="s">
        <v>149</v>
      </c>
      <c r="F210" s="2" t="s">
        <v>628</v>
      </c>
      <c r="G210" s="2" t="s">
        <v>651</v>
      </c>
      <c r="H210" s="2" t="s">
        <v>886</v>
      </c>
      <c r="I210" s="2" t="s">
        <v>155</v>
      </c>
      <c r="J210" s="2">
        <v>2</v>
      </c>
      <c r="AE210" s="2">
        <v>2000</v>
      </c>
      <c r="AF210" s="2">
        <v>4</v>
      </c>
      <c r="AG210" s="2">
        <v>4</v>
      </c>
      <c r="AH210" s="8">
        <v>0.55599965779837945</v>
      </c>
      <c r="AI210" s="8">
        <v>0.72826245073235452</v>
      </c>
      <c r="AJ210" s="8">
        <v>0.1705464423635327</v>
      </c>
      <c r="AK210" s="8">
        <f>AVERAGE(AH210:AJ210)</f>
        <v>0.48493618363142227</v>
      </c>
      <c r="AS210" s="10">
        <f>AF210/32</f>
        <v>0.125</v>
      </c>
      <c r="AT210" s="10">
        <f>AG210/28</f>
        <v>0.14285714285714285</v>
      </c>
    </row>
    <row r="211" spans="1:46" x14ac:dyDescent="0.3">
      <c r="A211" s="2" t="s">
        <v>530</v>
      </c>
      <c r="B211" s="2" t="s">
        <v>186</v>
      </c>
      <c r="C211" s="2" t="s">
        <v>191</v>
      </c>
      <c r="D211" s="2" t="s">
        <v>266</v>
      </c>
      <c r="E211" s="2" t="s">
        <v>196</v>
      </c>
      <c r="F211" s="2" t="s">
        <v>669</v>
      </c>
      <c r="G211" s="2" t="s">
        <v>651</v>
      </c>
      <c r="H211" s="2" t="s">
        <v>886</v>
      </c>
      <c r="I211" s="2" t="s">
        <v>191</v>
      </c>
      <c r="J211" s="2">
        <v>3</v>
      </c>
      <c r="AE211" s="2">
        <v>2008</v>
      </c>
      <c r="AF211" s="2">
        <v>4</v>
      </c>
      <c r="AG211" s="2">
        <v>4</v>
      </c>
      <c r="AH211" s="8">
        <v>0.45364518845701746</v>
      </c>
      <c r="AI211" s="8">
        <v>0.45973350525565571</v>
      </c>
      <c r="AJ211" s="8">
        <v>0.49909248897374853</v>
      </c>
      <c r="AK211" s="8">
        <f>AVERAGE(AH211:AJ211)</f>
        <v>0.47082372756214053</v>
      </c>
      <c r="AS211" s="10">
        <f>AF211/32</f>
        <v>0.125</v>
      </c>
      <c r="AT211" s="10">
        <f>AG211/28</f>
        <v>0.14285714285714285</v>
      </c>
    </row>
    <row r="212" spans="1:46" x14ac:dyDescent="0.3">
      <c r="A212" s="2" t="s">
        <v>450</v>
      </c>
      <c r="B212" s="2" t="s">
        <v>131</v>
      </c>
      <c r="C212" s="2" t="s">
        <v>140</v>
      </c>
      <c r="D212" s="2" t="s">
        <v>140</v>
      </c>
      <c r="E212" s="2" t="s">
        <v>299</v>
      </c>
      <c r="F212" s="2" t="s">
        <v>140</v>
      </c>
      <c r="G212" s="2" t="s">
        <v>656</v>
      </c>
      <c r="H212" s="2" t="s">
        <v>886</v>
      </c>
      <c r="I212" s="2" t="s">
        <v>136</v>
      </c>
      <c r="J212" s="2">
        <v>2</v>
      </c>
      <c r="AH212" s="8">
        <v>0.46625427435979977</v>
      </c>
      <c r="AI212" s="8">
        <v>0.42291108559334484</v>
      </c>
      <c r="AJ212" s="8">
        <v>0.49636715807655007</v>
      </c>
      <c r="AK212" s="8">
        <f>AVERAGE(AH212:AJ212)</f>
        <v>0.46184417267656491</v>
      </c>
    </row>
    <row r="213" spans="1:46" x14ac:dyDescent="0.3">
      <c r="A213" s="2" t="s">
        <v>459</v>
      </c>
      <c r="B213" s="2" t="s">
        <v>146</v>
      </c>
      <c r="C213" s="2" t="s">
        <v>627</v>
      </c>
      <c r="D213" s="2" t="s">
        <v>280</v>
      </c>
      <c r="E213" s="2" t="s">
        <v>278</v>
      </c>
      <c r="F213" s="2" t="s">
        <v>280</v>
      </c>
      <c r="G213" s="2" t="s">
        <v>651</v>
      </c>
      <c r="H213" s="2" t="s">
        <v>886</v>
      </c>
      <c r="I213" s="2" t="s">
        <v>155</v>
      </c>
      <c r="J213" s="2">
        <v>2</v>
      </c>
      <c r="AH213" s="8">
        <v>0.51795450481072502</v>
      </c>
      <c r="AI213" s="8">
        <v>0.63352420970413681</v>
      </c>
      <c r="AJ213" s="8">
        <v>0.20183076994561883</v>
      </c>
      <c r="AK213" s="8">
        <f>AVERAGE(AH213:AJ213)</f>
        <v>0.45110316148682689</v>
      </c>
    </row>
    <row r="214" spans="1:46" x14ac:dyDescent="0.3">
      <c r="A214" s="2" t="s">
        <v>405</v>
      </c>
      <c r="B214" s="2" t="s">
        <v>70</v>
      </c>
      <c r="C214" s="2" t="s">
        <v>82</v>
      </c>
      <c r="D214" s="2" t="s">
        <v>82</v>
      </c>
      <c r="E214" s="2" t="s">
        <v>272</v>
      </c>
      <c r="F214" s="2" t="s">
        <v>82</v>
      </c>
      <c r="G214" s="2" t="s">
        <v>651</v>
      </c>
      <c r="H214" s="2" t="s">
        <v>886</v>
      </c>
      <c r="I214" s="2" t="s">
        <v>74</v>
      </c>
      <c r="J214" s="2">
        <v>2</v>
      </c>
      <c r="AH214" s="8">
        <v>0.46501247711830079</v>
      </c>
      <c r="AI214" s="8">
        <v>0.34599476505066379</v>
      </c>
      <c r="AJ214" s="8">
        <v>0.519974092371014</v>
      </c>
      <c r="AK214" s="8">
        <f>AVERAGE(AH214:AJ214)</f>
        <v>0.44366044484665951</v>
      </c>
    </row>
    <row r="215" spans="1:46" x14ac:dyDescent="0.3">
      <c r="A215" s="2" t="s">
        <v>462</v>
      </c>
      <c r="B215" s="2" t="s">
        <v>146</v>
      </c>
      <c r="C215" s="2" t="s">
        <v>627</v>
      </c>
      <c r="D215" s="2" t="s">
        <v>280</v>
      </c>
      <c r="E215" s="2" t="s">
        <v>280</v>
      </c>
      <c r="F215" s="2" t="s">
        <v>280</v>
      </c>
      <c r="G215" s="2" t="s">
        <v>651</v>
      </c>
      <c r="H215" s="2" t="s">
        <v>886</v>
      </c>
      <c r="I215" s="2" t="s">
        <v>155</v>
      </c>
      <c r="J215" s="2">
        <v>2</v>
      </c>
      <c r="N215" s="4" t="s">
        <v>662</v>
      </c>
      <c r="P215" s="4" t="s">
        <v>662</v>
      </c>
      <c r="T215" s="4" t="s">
        <v>662</v>
      </c>
      <c r="U215" s="4" t="s">
        <v>662</v>
      </c>
      <c r="V215" s="4" t="s">
        <v>662</v>
      </c>
      <c r="W215" s="4" t="s">
        <v>662</v>
      </c>
      <c r="X215" s="4"/>
      <c r="Y215" s="4" t="s">
        <v>662</v>
      </c>
      <c r="Z215" s="4" t="s">
        <v>662</v>
      </c>
      <c r="AA215" s="4"/>
      <c r="AB215" s="4" t="s">
        <v>662</v>
      </c>
      <c r="AC215" s="4" t="s">
        <v>662</v>
      </c>
      <c r="AE215" s="2">
        <v>0</v>
      </c>
      <c r="AF215" s="2">
        <v>0</v>
      </c>
      <c r="AG215" s="4">
        <v>0</v>
      </c>
      <c r="AH215" s="8">
        <v>0.46912557447587705</v>
      </c>
      <c r="AI215" s="8">
        <v>0.5142022196819297</v>
      </c>
      <c r="AJ215" s="8">
        <v>0.32750394738375377</v>
      </c>
      <c r="AK215" s="8">
        <f>AVERAGE(AH215:AJ215)</f>
        <v>0.43694391384718684</v>
      </c>
      <c r="AT215" s="10">
        <f>AG215/28</f>
        <v>0</v>
      </c>
    </row>
    <row r="216" spans="1:46" x14ac:dyDescent="0.3">
      <c r="A216" s="2" t="s">
        <v>323</v>
      </c>
      <c r="B216" s="2" t="s">
        <v>27</v>
      </c>
      <c r="C216" s="2" t="s">
        <v>620</v>
      </c>
      <c r="D216" s="2" t="s">
        <v>623</v>
      </c>
      <c r="E216" s="3" t="s">
        <v>30</v>
      </c>
      <c r="F216" s="3" t="s">
        <v>662</v>
      </c>
      <c r="G216" s="2" t="s">
        <v>651</v>
      </c>
      <c r="H216" s="2" t="s">
        <v>886</v>
      </c>
      <c r="I216" s="2" t="s">
        <v>36</v>
      </c>
      <c r="J216" s="2">
        <v>3</v>
      </c>
      <c r="AE216" s="2" t="s">
        <v>704</v>
      </c>
      <c r="AF216" s="2">
        <v>12</v>
      </c>
      <c r="AG216" s="2">
        <v>8</v>
      </c>
      <c r="AH216" s="8">
        <v>0.3176610338272513</v>
      </c>
      <c r="AI216" s="8">
        <v>0.38905823350807334</v>
      </c>
      <c r="AJ216" s="8">
        <v>0.45394344534853365</v>
      </c>
      <c r="AK216" s="8">
        <f>AVERAGE(AH216:AJ216)</f>
        <v>0.38688757089461939</v>
      </c>
      <c r="AS216" s="10">
        <f>AF216/32</f>
        <v>0.375</v>
      </c>
      <c r="AT216" s="10">
        <f>AG216/28</f>
        <v>0.2857142857142857</v>
      </c>
    </row>
    <row r="217" spans="1:46" x14ac:dyDescent="0.3">
      <c r="A217" s="2" t="s">
        <v>327</v>
      </c>
      <c r="B217" s="2" t="s">
        <v>27</v>
      </c>
      <c r="C217" s="2" t="s">
        <v>34</v>
      </c>
      <c r="D217" s="2" t="s">
        <v>34</v>
      </c>
      <c r="E217" s="3" t="s">
        <v>34</v>
      </c>
      <c r="F217" s="3" t="s">
        <v>668</v>
      </c>
      <c r="G217" s="2" t="s">
        <v>651</v>
      </c>
      <c r="H217" s="2" t="s">
        <v>886</v>
      </c>
      <c r="I217" s="2" t="s">
        <v>124</v>
      </c>
      <c r="J217" s="2">
        <v>2</v>
      </c>
      <c r="AE217" s="2" t="s">
        <v>679</v>
      </c>
      <c r="AF217" s="2">
        <v>8</v>
      </c>
      <c r="AG217" s="2">
        <v>8</v>
      </c>
      <c r="AH217" s="8">
        <v>0.46879959894562151</v>
      </c>
      <c r="AI217" s="8">
        <v>0.25826849770870386</v>
      </c>
      <c r="AJ217" s="8">
        <v>0.40822055084927561</v>
      </c>
      <c r="AK217" s="8">
        <f>AVERAGE(AH217:AJ217)</f>
        <v>0.37842954916786703</v>
      </c>
      <c r="AS217" s="10">
        <f>AF217/32</f>
        <v>0.25</v>
      </c>
      <c r="AT217" s="10">
        <f>AG217/28</f>
        <v>0.2857142857142857</v>
      </c>
    </row>
    <row r="218" spans="1:46" x14ac:dyDescent="0.3">
      <c r="A218" s="2" t="s">
        <v>339</v>
      </c>
      <c r="B218" s="2" t="s">
        <v>41</v>
      </c>
      <c r="C218" s="2" t="s">
        <v>46</v>
      </c>
      <c r="D218" s="2" t="s">
        <v>46</v>
      </c>
      <c r="E218" s="3" t="s">
        <v>43</v>
      </c>
      <c r="F218" s="3" t="s">
        <v>46</v>
      </c>
      <c r="G218" s="2" t="s">
        <v>656</v>
      </c>
      <c r="H218" s="2" t="s">
        <v>886</v>
      </c>
      <c r="I218" s="2" t="s">
        <v>44</v>
      </c>
      <c r="J218" s="2">
        <v>2</v>
      </c>
      <c r="AE218" s="2" t="s">
        <v>713</v>
      </c>
      <c r="AF218" s="2">
        <v>8</v>
      </c>
      <c r="AG218" s="2">
        <v>4</v>
      </c>
      <c r="AH218" s="8">
        <v>0.48685509509139518</v>
      </c>
      <c r="AI218" s="8">
        <v>0.18137564778049087</v>
      </c>
      <c r="AJ218" s="8">
        <v>0.38109213318531399</v>
      </c>
      <c r="AK218" s="8">
        <f>AVERAGE(AH218:AJ218)</f>
        <v>0.34977429201906673</v>
      </c>
      <c r="AS218" s="10">
        <f>AF218/32</f>
        <v>0.25</v>
      </c>
      <c r="AT218" s="10">
        <f>AG218/28</f>
        <v>0.14285714285714285</v>
      </c>
    </row>
    <row r="219" spans="1:46" x14ac:dyDescent="0.3">
      <c r="A219" s="2" t="s">
        <v>314</v>
      </c>
      <c r="B219" s="2" t="s">
        <v>21</v>
      </c>
      <c r="C219" s="2" t="s">
        <v>20</v>
      </c>
      <c r="D219" s="2" t="s">
        <v>20</v>
      </c>
      <c r="E219" s="3" t="s">
        <v>20</v>
      </c>
      <c r="F219" s="3" t="s">
        <v>662</v>
      </c>
      <c r="G219" s="2" t="s">
        <v>651</v>
      </c>
      <c r="H219" s="2" t="s">
        <v>886</v>
      </c>
      <c r="I219" s="2" t="s">
        <v>22</v>
      </c>
      <c r="J219" s="2">
        <v>3</v>
      </c>
      <c r="AE219" s="2">
        <v>2004</v>
      </c>
      <c r="AF219" s="2">
        <v>4</v>
      </c>
      <c r="AG219" s="2">
        <v>4</v>
      </c>
      <c r="AH219" s="8">
        <v>0.37642580373196199</v>
      </c>
      <c r="AI219" s="8">
        <v>0.22285981801535643</v>
      </c>
      <c r="AJ219" s="8">
        <v>0.28786522871616171</v>
      </c>
      <c r="AK219" s="8">
        <f>AVERAGE(AH219:AJ219)</f>
        <v>0.29571695015449334</v>
      </c>
      <c r="AS219" s="10">
        <f>AF219/32</f>
        <v>0.125</v>
      </c>
      <c r="AT219" s="10">
        <f>AG219/28</f>
        <v>0.14285714285714285</v>
      </c>
    </row>
    <row r="220" spans="1:46" x14ac:dyDescent="0.3">
      <c r="A220" s="2" t="s">
        <v>324</v>
      </c>
      <c r="B220" s="2" t="s">
        <v>27</v>
      </c>
      <c r="C220" s="2" t="s">
        <v>620</v>
      </c>
      <c r="D220" s="2" t="s">
        <v>620</v>
      </c>
      <c r="E220" s="3" t="s">
        <v>31</v>
      </c>
      <c r="F220" s="3" t="s">
        <v>662</v>
      </c>
      <c r="G220" s="2" t="s">
        <v>651</v>
      </c>
      <c r="H220" s="2" t="s">
        <v>886</v>
      </c>
      <c r="I220" s="2" t="s">
        <v>33</v>
      </c>
      <c r="J220" s="2">
        <v>3</v>
      </c>
      <c r="AE220" s="2">
        <v>2004</v>
      </c>
      <c r="AF220" s="2">
        <v>4</v>
      </c>
      <c r="AG220" s="2">
        <v>4</v>
      </c>
      <c r="AH220" s="8">
        <v>0.22874853900689535</v>
      </c>
      <c r="AI220" s="8">
        <v>7.8203432742724108E-2</v>
      </c>
      <c r="AJ220" s="8">
        <v>0.24768397153082936</v>
      </c>
      <c r="AK220" s="8">
        <f>AVERAGE(AH220:AJ220)</f>
        <v>0.18487864776014962</v>
      </c>
      <c r="AS220" s="10">
        <f>AF220/32</f>
        <v>0.125</v>
      </c>
      <c r="AT220" s="10">
        <f>AG220/28</f>
        <v>0.14285714285714285</v>
      </c>
    </row>
    <row r="221" spans="1:46" x14ac:dyDescent="0.3">
      <c r="A221" s="2" t="s">
        <v>374</v>
      </c>
      <c r="B221" s="2" t="s">
        <v>70</v>
      </c>
      <c r="C221" s="2" t="s">
        <v>624</v>
      </c>
      <c r="D221" s="2" t="s">
        <v>72</v>
      </c>
      <c r="E221" s="3" t="s">
        <v>72</v>
      </c>
      <c r="F221" s="3" t="s">
        <v>72</v>
      </c>
      <c r="G221" s="2" t="s">
        <v>655</v>
      </c>
      <c r="H221" s="2" t="s">
        <v>888</v>
      </c>
      <c r="I221" s="2" t="s">
        <v>624</v>
      </c>
      <c r="J221" s="2">
        <v>3</v>
      </c>
      <c r="AE221" s="2">
        <v>2000</v>
      </c>
      <c r="AF221" s="2">
        <v>4</v>
      </c>
      <c r="AG221" s="2">
        <v>4</v>
      </c>
      <c r="AH221" s="8">
        <v>0.85582370451874623</v>
      </c>
      <c r="AI221" s="8">
        <v>1</v>
      </c>
      <c r="AJ221" s="8">
        <v>0.68137873268710747</v>
      </c>
      <c r="AK221" s="8">
        <f>AVERAGE(AH221:AJ221)</f>
        <v>0.84573414573528449</v>
      </c>
      <c r="AS221" s="10">
        <f>AF221/32</f>
        <v>0.125</v>
      </c>
      <c r="AT221" s="10">
        <f>AG221/28</f>
        <v>0.14285714285714285</v>
      </c>
    </row>
    <row r="222" spans="1:46" x14ac:dyDescent="0.3">
      <c r="A222" s="2" t="s">
        <v>492</v>
      </c>
      <c r="B222" s="2" t="s">
        <v>167</v>
      </c>
      <c r="C222" s="2" t="s">
        <v>177</v>
      </c>
      <c r="D222" s="2" t="s">
        <v>173</v>
      </c>
      <c r="E222" s="2" t="s">
        <v>173</v>
      </c>
      <c r="F222" s="2" t="s">
        <v>662</v>
      </c>
      <c r="G222" s="2" t="s">
        <v>654</v>
      </c>
      <c r="H222" s="2" t="s">
        <v>888</v>
      </c>
      <c r="I222" s="2" t="s">
        <v>177</v>
      </c>
      <c r="J222" s="2">
        <v>3</v>
      </c>
      <c r="AE222" s="2" t="s">
        <v>702</v>
      </c>
      <c r="AF222" s="2">
        <v>12</v>
      </c>
      <c r="AG222" s="2">
        <v>8</v>
      </c>
      <c r="AH222" s="8">
        <v>0.75081228101054143</v>
      </c>
      <c r="AI222" s="8">
        <v>1</v>
      </c>
      <c r="AJ222" s="8">
        <v>0.71850899092818077</v>
      </c>
      <c r="AK222" s="8">
        <f>AVERAGE(AH222:AJ222)</f>
        <v>0.82310709064624066</v>
      </c>
      <c r="AS222" s="10">
        <f>AF222/32</f>
        <v>0.375</v>
      </c>
      <c r="AT222" s="10">
        <f>AG222/28</f>
        <v>0.2857142857142857</v>
      </c>
    </row>
    <row r="223" spans="1:46" x14ac:dyDescent="0.3">
      <c r="A223" s="2" t="s">
        <v>350</v>
      </c>
      <c r="B223" s="2" t="s">
        <v>52</v>
      </c>
      <c r="C223" s="2" t="s">
        <v>57</v>
      </c>
      <c r="D223" s="2" t="s">
        <v>57</v>
      </c>
      <c r="E223" s="3" t="s">
        <v>54</v>
      </c>
      <c r="F223" s="3" t="s">
        <v>662</v>
      </c>
      <c r="G223" s="2" t="s">
        <v>655</v>
      </c>
      <c r="H223" s="2" t="s">
        <v>888</v>
      </c>
      <c r="I223" s="2" t="s">
        <v>57</v>
      </c>
      <c r="J223" s="2">
        <v>3</v>
      </c>
      <c r="AE223" s="2" t="s">
        <v>706</v>
      </c>
      <c r="AF223" s="2">
        <v>8</v>
      </c>
      <c r="AG223" s="2">
        <v>4</v>
      </c>
      <c r="AH223" s="8">
        <v>0.78391451106247856</v>
      </c>
      <c r="AI223" s="8">
        <v>0.87752236370587455</v>
      </c>
      <c r="AJ223" s="8">
        <v>0.79446705314927502</v>
      </c>
      <c r="AK223" s="8">
        <f>AVERAGE(AH223:AJ223)</f>
        <v>0.81863464263920938</v>
      </c>
      <c r="AS223" s="10">
        <f>AF223/32</f>
        <v>0.25</v>
      </c>
      <c r="AT223" s="10">
        <f>AG223/28</f>
        <v>0.14285714285714285</v>
      </c>
    </row>
    <row r="224" spans="1:46" x14ac:dyDescent="0.3">
      <c r="A224" s="2" t="s">
        <v>447</v>
      </c>
      <c r="B224" s="2" t="s">
        <v>131</v>
      </c>
      <c r="C224" s="2" t="s">
        <v>135</v>
      </c>
      <c r="D224" s="2" t="s">
        <v>138</v>
      </c>
      <c r="E224" s="2" t="s">
        <v>138</v>
      </c>
      <c r="F224" s="2" t="s">
        <v>662</v>
      </c>
      <c r="G224" s="2" t="s">
        <v>654</v>
      </c>
      <c r="H224" s="2" t="s">
        <v>888</v>
      </c>
      <c r="I224" s="2" t="s">
        <v>136</v>
      </c>
      <c r="J224" s="2">
        <v>3</v>
      </c>
      <c r="AE224" s="2">
        <v>2000</v>
      </c>
      <c r="AF224" s="2">
        <v>4</v>
      </c>
      <c r="AG224" s="2">
        <v>4</v>
      </c>
      <c r="AH224" s="8">
        <v>0.79403618474613313</v>
      </c>
      <c r="AI224" s="8">
        <v>1</v>
      </c>
      <c r="AJ224" s="8">
        <v>0.61718888405354744</v>
      </c>
      <c r="AK224" s="8">
        <f>AVERAGE(AH224:AJ224)</f>
        <v>0.80374168959989356</v>
      </c>
      <c r="AS224" s="10">
        <f>AF224/32</f>
        <v>0.125</v>
      </c>
      <c r="AT224" s="10">
        <f>AG224/28</f>
        <v>0.14285714285714285</v>
      </c>
    </row>
    <row r="225" spans="1:46" x14ac:dyDescent="0.3">
      <c r="A225" s="2" t="s">
        <v>496</v>
      </c>
      <c r="B225" s="2" t="s">
        <v>167</v>
      </c>
      <c r="C225" s="2" t="s">
        <v>100</v>
      </c>
      <c r="D225" s="2" t="s">
        <v>641</v>
      </c>
      <c r="E225" s="2" t="s">
        <v>291</v>
      </c>
      <c r="F225" s="2" t="s">
        <v>662</v>
      </c>
      <c r="G225" s="2" t="s">
        <v>655</v>
      </c>
      <c r="H225" s="2" t="s">
        <v>888</v>
      </c>
      <c r="I225" s="2" t="s">
        <v>179</v>
      </c>
      <c r="J225" s="2">
        <v>3</v>
      </c>
      <c r="AH225" s="8">
        <v>0.79067614617556536</v>
      </c>
      <c r="AI225" s="8">
        <v>0.9774839096018032</v>
      </c>
      <c r="AJ225" s="8">
        <v>0.63669699505637833</v>
      </c>
      <c r="AK225" s="8">
        <f>AVERAGE(AH225:AJ225)</f>
        <v>0.80161901694458226</v>
      </c>
    </row>
    <row r="226" spans="1:46" x14ac:dyDescent="0.3">
      <c r="A226" s="2" t="s">
        <v>456</v>
      </c>
      <c r="B226" s="2" t="s">
        <v>131</v>
      </c>
      <c r="C226" s="2" t="s">
        <v>140</v>
      </c>
      <c r="D226" s="2" t="s">
        <v>144</v>
      </c>
      <c r="E226" s="2" t="s">
        <v>144</v>
      </c>
      <c r="F226" s="2" t="s">
        <v>144</v>
      </c>
      <c r="G226" s="2" t="s">
        <v>654</v>
      </c>
      <c r="H226" s="2" t="s">
        <v>888</v>
      </c>
      <c r="I226" s="2" t="s">
        <v>140</v>
      </c>
      <c r="J226" s="2">
        <v>3</v>
      </c>
      <c r="AE226" s="2">
        <v>2008</v>
      </c>
      <c r="AF226" s="2">
        <v>4</v>
      </c>
      <c r="AG226" s="2">
        <v>4</v>
      </c>
      <c r="AH226" s="8">
        <v>0.83196254443660334</v>
      </c>
      <c r="AI226" s="8">
        <v>1</v>
      </c>
      <c r="AJ226" s="8">
        <v>0.52965485645768096</v>
      </c>
      <c r="AK226" s="8">
        <f>AVERAGE(AH226:AJ226)</f>
        <v>0.78720580029809473</v>
      </c>
      <c r="AS226" s="10">
        <f>AF226/32</f>
        <v>0.125</v>
      </c>
      <c r="AT226" s="10">
        <f>AG226/28</f>
        <v>0.14285714285714285</v>
      </c>
    </row>
    <row r="227" spans="1:46" x14ac:dyDescent="0.3">
      <c r="A227" s="2" t="s">
        <v>549</v>
      </c>
      <c r="B227" s="2" t="s">
        <v>201</v>
      </c>
      <c r="C227" s="2" t="s">
        <v>210</v>
      </c>
      <c r="D227" s="2" t="s">
        <v>212</v>
      </c>
      <c r="E227" s="2" t="s">
        <v>212</v>
      </c>
      <c r="F227" s="2" t="s">
        <v>662</v>
      </c>
      <c r="G227" s="2" t="s">
        <v>654</v>
      </c>
      <c r="H227" s="2" t="s">
        <v>888</v>
      </c>
      <c r="I227" s="2" t="s">
        <v>249</v>
      </c>
      <c r="J227" s="2">
        <v>3</v>
      </c>
      <c r="AE227" s="2" t="s">
        <v>692</v>
      </c>
      <c r="AF227" s="2">
        <v>16</v>
      </c>
      <c r="AG227" s="2">
        <v>16</v>
      </c>
      <c r="AH227" s="8">
        <v>0.80516405158977811</v>
      </c>
      <c r="AI227" s="8">
        <v>1</v>
      </c>
      <c r="AJ227" s="8">
        <v>0.52560412953914404</v>
      </c>
      <c r="AK227" s="8">
        <f>AVERAGE(AH227:AJ227)</f>
        <v>0.77692272704297416</v>
      </c>
      <c r="AS227" s="10">
        <f>AF227/32</f>
        <v>0.5</v>
      </c>
      <c r="AT227" s="10">
        <f>AG227/28</f>
        <v>0.5714285714285714</v>
      </c>
    </row>
    <row r="228" spans="1:46" x14ac:dyDescent="0.3">
      <c r="A228" s="2" t="s">
        <v>329</v>
      </c>
      <c r="B228" s="2" t="s">
        <v>27</v>
      </c>
      <c r="C228" s="2" t="s">
        <v>621</v>
      </c>
      <c r="D228" s="2" t="s">
        <v>621</v>
      </c>
      <c r="E228" s="2" t="s">
        <v>295</v>
      </c>
      <c r="F228" s="2" t="s">
        <v>662</v>
      </c>
      <c r="G228" s="2" t="s">
        <v>655</v>
      </c>
      <c r="H228" s="2" t="s">
        <v>888</v>
      </c>
      <c r="I228" s="2" t="s">
        <v>621</v>
      </c>
      <c r="J228" s="2">
        <v>3</v>
      </c>
      <c r="AH228" s="8">
        <v>0.65203092548615427</v>
      </c>
      <c r="AI228" s="8">
        <v>1</v>
      </c>
      <c r="AJ228" s="8">
        <v>0.62292798520329173</v>
      </c>
      <c r="AK228" s="8">
        <f>AVERAGE(AH228:AJ228)</f>
        <v>0.75831963689648196</v>
      </c>
    </row>
    <row r="229" spans="1:46" x14ac:dyDescent="0.3">
      <c r="A229" s="2" t="s">
        <v>319</v>
      </c>
      <c r="B229" s="2" t="s">
        <v>27</v>
      </c>
      <c r="C229" s="2" t="s">
        <v>40</v>
      </c>
      <c r="D229" s="2" t="s">
        <v>303</v>
      </c>
      <c r="E229" s="2" t="s">
        <v>303</v>
      </c>
      <c r="F229" s="2" t="s">
        <v>662</v>
      </c>
      <c r="G229" s="2" t="s">
        <v>655</v>
      </c>
      <c r="H229" s="2" t="s">
        <v>888</v>
      </c>
      <c r="I229" s="2" t="s">
        <v>40</v>
      </c>
      <c r="J229" s="2">
        <v>3</v>
      </c>
      <c r="N229" s="4" t="s">
        <v>662</v>
      </c>
      <c r="P229" s="4" t="s">
        <v>662</v>
      </c>
      <c r="T229" s="4" t="s">
        <v>662</v>
      </c>
      <c r="U229" s="4" t="s">
        <v>662</v>
      </c>
      <c r="V229" s="4" t="s">
        <v>662</v>
      </c>
      <c r="W229" s="4" t="s">
        <v>662</v>
      </c>
      <c r="X229" s="4"/>
      <c r="Y229" s="4" t="s">
        <v>662</v>
      </c>
      <c r="Z229" s="4" t="s">
        <v>662</v>
      </c>
      <c r="AA229" s="4"/>
      <c r="AB229" s="4" t="s">
        <v>662</v>
      </c>
      <c r="AC229" s="4" t="s">
        <v>662</v>
      </c>
      <c r="AE229" s="4">
        <v>0</v>
      </c>
      <c r="AF229" s="4">
        <v>0</v>
      </c>
      <c r="AG229" s="4">
        <v>0</v>
      </c>
      <c r="AH229" s="8">
        <v>0.71813623450078945</v>
      </c>
      <c r="AI229" s="8">
        <v>0.73427620661005288</v>
      </c>
      <c r="AJ229" s="8">
        <v>0.81955310424089789</v>
      </c>
      <c r="AK229" s="8">
        <f>AVERAGE(AH229:AJ229)</f>
        <v>0.75732184845058015</v>
      </c>
      <c r="AT229" s="10">
        <f>AG229/28</f>
        <v>0</v>
      </c>
    </row>
    <row r="230" spans="1:46" x14ac:dyDescent="0.3">
      <c r="A230" s="2" t="s">
        <v>408</v>
      </c>
      <c r="B230" s="2" t="s">
        <v>70</v>
      </c>
      <c r="C230" s="2" t="s">
        <v>87</v>
      </c>
      <c r="D230" s="2" t="s">
        <v>257</v>
      </c>
      <c r="E230" s="2" t="s">
        <v>257</v>
      </c>
      <c r="F230" s="2" t="s">
        <v>257</v>
      </c>
      <c r="G230" s="2" t="s">
        <v>654</v>
      </c>
      <c r="H230" s="2" t="s">
        <v>888</v>
      </c>
      <c r="I230" s="2" t="s">
        <v>87</v>
      </c>
      <c r="J230" s="2">
        <v>3</v>
      </c>
      <c r="AH230" s="8">
        <v>0.80149121121749312</v>
      </c>
      <c r="AI230" s="8">
        <v>1</v>
      </c>
      <c r="AJ230" s="8">
        <v>0.46042120171195455</v>
      </c>
      <c r="AK230" s="8">
        <f>AVERAGE(AH230:AJ230)</f>
        <v>0.75397080430981589</v>
      </c>
    </row>
    <row r="231" spans="1:46" x14ac:dyDescent="0.3">
      <c r="A231" s="2" t="s">
        <v>451</v>
      </c>
      <c r="B231" s="2" t="s">
        <v>131</v>
      </c>
      <c r="C231" s="2" t="s">
        <v>140</v>
      </c>
      <c r="D231" s="2" t="s">
        <v>141</v>
      </c>
      <c r="E231" s="2" t="s">
        <v>141</v>
      </c>
      <c r="F231" s="2" t="s">
        <v>141</v>
      </c>
      <c r="G231" s="2" t="s">
        <v>654</v>
      </c>
      <c r="H231" s="2" t="s">
        <v>888</v>
      </c>
      <c r="I231" s="2" t="s">
        <v>140</v>
      </c>
      <c r="J231" s="2">
        <v>3</v>
      </c>
      <c r="N231" s="4" t="s">
        <v>662</v>
      </c>
      <c r="P231" s="4" t="s">
        <v>662</v>
      </c>
      <c r="T231" s="2" t="s">
        <v>662</v>
      </c>
      <c r="U231" s="2" t="s">
        <v>725</v>
      </c>
      <c r="V231" s="5" t="s">
        <v>662</v>
      </c>
      <c r="W231" s="5" t="s">
        <v>662</v>
      </c>
      <c r="Y231" s="5" t="s">
        <v>662</v>
      </c>
      <c r="Z231" s="5" t="s">
        <v>662</v>
      </c>
      <c r="AB231" s="5" t="s">
        <v>662</v>
      </c>
      <c r="AC231" s="5" t="s">
        <v>662</v>
      </c>
      <c r="AE231" s="2" t="s">
        <v>687</v>
      </c>
      <c r="AF231" s="2">
        <v>8</v>
      </c>
      <c r="AG231" s="2">
        <v>4</v>
      </c>
      <c r="AH231" s="8">
        <v>0.66801988265159218</v>
      </c>
      <c r="AI231" s="8">
        <v>1</v>
      </c>
      <c r="AJ231" s="8">
        <v>0.55787035714116706</v>
      </c>
      <c r="AK231" s="8">
        <f>AVERAGE(AH231:AJ231)</f>
        <v>0.74196341326425308</v>
      </c>
      <c r="AQ231" s="10">
        <v>0</v>
      </c>
      <c r="AR231" s="10">
        <v>0</v>
      </c>
      <c r="AS231" s="10">
        <f>AF231/32</f>
        <v>0.25</v>
      </c>
      <c r="AT231" s="10">
        <f>AG231/28</f>
        <v>0.14285714285714285</v>
      </c>
    </row>
    <row r="232" spans="1:46" x14ac:dyDescent="0.3">
      <c r="A232" s="2" t="s">
        <v>604</v>
      </c>
      <c r="B232" s="2" t="s">
        <v>201</v>
      </c>
      <c r="C232" s="2" t="s">
        <v>248</v>
      </c>
      <c r="D232" s="2" t="s">
        <v>632</v>
      </c>
      <c r="E232" s="2" t="s">
        <v>250</v>
      </c>
      <c r="F232" s="2" t="s">
        <v>632</v>
      </c>
      <c r="G232" s="2" t="s">
        <v>655</v>
      </c>
      <c r="H232" s="2" t="s">
        <v>888</v>
      </c>
      <c r="I232" s="2" t="s">
        <v>248</v>
      </c>
      <c r="J232" s="2">
        <v>3</v>
      </c>
      <c r="AE232" s="2">
        <v>2004</v>
      </c>
      <c r="AF232" s="2">
        <v>4</v>
      </c>
      <c r="AG232" s="2">
        <v>4</v>
      </c>
      <c r="AH232" s="8">
        <v>0.79378692240910154</v>
      </c>
      <c r="AI232" s="8">
        <v>1</v>
      </c>
      <c r="AJ232" s="8">
        <v>0.43189279241415818</v>
      </c>
      <c r="AK232" s="8">
        <f>AVERAGE(AH232:AJ232)</f>
        <v>0.74189323827441989</v>
      </c>
      <c r="AS232" s="10">
        <f>AF232/32</f>
        <v>0.125</v>
      </c>
      <c r="AT232" s="10">
        <f>AG232/28</f>
        <v>0.14285714285714285</v>
      </c>
    </row>
    <row r="233" spans="1:46" x14ac:dyDescent="0.3">
      <c r="A233" s="2">
        <v>4115804</v>
      </c>
      <c r="B233" s="2" t="s">
        <v>131</v>
      </c>
      <c r="C233" s="2" t="s">
        <v>135</v>
      </c>
      <c r="D233" s="2" t="s">
        <v>137</v>
      </c>
      <c r="E233" s="2" t="s">
        <v>836</v>
      </c>
      <c r="F233" s="2" t="s">
        <v>662</v>
      </c>
      <c r="G233" s="2" t="s">
        <v>655</v>
      </c>
      <c r="H233" s="2" t="s">
        <v>888</v>
      </c>
      <c r="I233" s="2" t="s">
        <v>730</v>
      </c>
      <c r="J233" s="2">
        <v>3</v>
      </c>
      <c r="N233" s="4" t="s">
        <v>662</v>
      </c>
      <c r="P233" s="4" t="s">
        <v>662</v>
      </c>
      <c r="T233" s="2" t="s">
        <v>662</v>
      </c>
      <c r="U233" s="2" t="s">
        <v>725</v>
      </c>
      <c r="V233" s="5" t="s">
        <v>662</v>
      </c>
      <c r="W233" s="5" t="s">
        <v>662</v>
      </c>
      <c r="Y233" s="5" t="s">
        <v>662</v>
      </c>
      <c r="Z233" s="5" t="s">
        <v>662</v>
      </c>
      <c r="AB233" s="5" t="s">
        <v>662</v>
      </c>
      <c r="AC233" s="5" t="s">
        <v>662</v>
      </c>
      <c r="AE233" s="2" t="s">
        <v>689</v>
      </c>
      <c r="AF233" s="2">
        <v>12</v>
      </c>
      <c r="AG233" s="2">
        <v>12</v>
      </c>
      <c r="AH233" s="8">
        <v>0.72444940608010711</v>
      </c>
      <c r="AI233" s="8">
        <v>1</v>
      </c>
      <c r="AJ233" s="8">
        <v>0.48648464858357954</v>
      </c>
      <c r="AK233" s="8">
        <f>AVERAGE(AH233:AJ233)</f>
        <v>0.73697801822122899</v>
      </c>
      <c r="AQ233" s="10">
        <v>0</v>
      </c>
      <c r="AR233" s="10">
        <v>0</v>
      </c>
      <c r="AS233" s="10">
        <f>AF233/32</f>
        <v>0.375</v>
      </c>
      <c r="AT233" s="10">
        <f>AG233/28</f>
        <v>0.42857142857142855</v>
      </c>
    </row>
    <row r="234" spans="1:46" x14ac:dyDescent="0.3">
      <c r="A234" s="2" t="s">
        <v>444</v>
      </c>
      <c r="B234" s="2" t="s">
        <v>131</v>
      </c>
      <c r="C234" s="2" t="s">
        <v>142</v>
      </c>
      <c r="D234" s="2" t="s">
        <v>142</v>
      </c>
      <c r="E234" s="2" t="s">
        <v>260</v>
      </c>
      <c r="F234" s="2" t="s">
        <v>662</v>
      </c>
      <c r="G234" s="2" t="s">
        <v>655</v>
      </c>
      <c r="H234" s="2" t="s">
        <v>888</v>
      </c>
      <c r="I234" s="2" t="s">
        <v>142</v>
      </c>
      <c r="J234" s="2">
        <v>3</v>
      </c>
      <c r="AE234" s="2">
        <v>2016</v>
      </c>
      <c r="AF234" s="2">
        <v>4</v>
      </c>
      <c r="AG234" s="2">
        <v>4</v>
      </c>
      <c r="AH234" s="8">
        <v>0.64748933104697581</v>
      </c>
      <c r="AI234" s="8">
        <v>1</v>
      </c>
      <c r="AJ234" s="8">
        <v>0.55906737570979326</v>
      </c>
      <c r="AK234" s="8">
        <f>AVERAGE(AH234:AJ234)</f>
        <v>0.73551890225225636</v>
      </c>
      <c r="AS234" s="10">
        <f>AF234/32</f>
        <v>0.125</v>
      </c>
      <c r="AT234" s="10">
        <f>AG234/28</f>
        <v>0.14285714285714285</v>
      </c>
    </row>
    <row r="235" spans="1:46" x14ac:dyDescent="0.3">
      <c r="A235" s="2" t="s">
        <v>413</v>
      </c>
      <c r="B235" s="2" t="s">
        <v>103</v>
      </c>
      <c r="C235" s="2" t="s">
        <v>277</v>
      </c>
      <c r="D235" s="2" t="s">
        <v>277</v>
      </c>
      <c r="E235" s="2" t="s">
        <v>277</v>
      </c>
      <c r="F235" s="2" t="s">
        <v>277</v>
      </c>
      <c r="G235" s="2" t="s">
        <v>655</v>
      </c>
      <c r="H235" s="2" t="s">
        <v>888</v>
      </c>
      <c r="I235" s="2" t="s">
        <v>104</v>
      </c>
      <c r="J235" s="2">
        <v>3</v>
      </c>
      <c r="AH235" s="8">
        <v>0.68775555454363713</v>
      </c>
      <c r="AI235" s="8">
        <v>1</v>
      </c>
      <c r="AJ235" s="8">
        <v>0.50916308427006596</v>
      </c>
      <c r="AK235" s="8">
        <f>AVERAGE(AH235:AJ235)</f>
        <v>0.73230621293790099</v>
      </c>
    </row>
    <row r="236" spans="1:46" x14ac:dyDescent="0.3">
      <c r="A236" s="2" t="s">
        <v>388</v>
      </c>
      <c r="B236" s="2" t="s">
        <v>70</v>
      </c>
      <c r="C236" s="2" t="s">
        <v>95</v>
      </c>
      <c r="D236" s="2" t="s">
        <v>84</v>
      </c>
      <c r="E236" s="3" t="s">
        <v>84</v>
      </c>
      <c r="F236" s="3" t="s">
        <v>84</v>
      </c>
      <c r="G236" s="2" t="s">
        <v>655</v>
      </c>
      <c r="H236" s="2" t="s">
        <v>888</v>
      </c>
      <c r="I236" s="2" t="s">
        <v>728</v>
      </c>
      <c r="J236" s="2">
        <v>3</v>
      </c>
      <c r="AE236" s="2">
        <v>2012</v>
      </c>
      <c r="AF236" s="2">
        <v>4</v>
      </c>
      <c r="AG236" s="2">
        <v>4</v>
      </c>
      <c r="AH236" s="8">
        <v>0.7354248684709882</v>
      </c>
      <c r="AI236" s="8">
        <v>0.94323102932438074</v>
      </c>
      <c r="AJ236" s="8">
        <v>0.50071180176849184</v>
      </c>
      <c r="AK236" s="8">
        <f>AVERAGE(AH236:AJ236)</f>
        <v>0.72645589985462022</v>
      </c>
      <c r="AS236" s="10">
        <f>AF236/32</f>
        <v>0.125</v>
      </c>
      <c r="AT236" s="10">
        <f>AG236/28</f>
        <v>0.14285714285714285</v>
      </c>
    </row>
    <row r="237" spans="1:46" x14ac:dyDescent="0.3">
      <c r="A237" s="2" t="s">
        <v>543</v>
      </c>
      <c r="B237" s="2" t="s">
        <v>201</v>
      </c>
      <c r="C237" s="2" t="s">
        <v>215</v>
      </c>
      <c r="D237" s="2" t="s">
        <v>207</v>
      </c>
      <c r="E237" s="2" t="s">
        <v>207</v>
      </c>
      <c r="F237" s="2" t="s">
        <v>662</v>
      </c>
      <c r="G237" s="2" t="s">
        <v>654</v>
      </c>
      <c r="H237" s="2" t="s">
        <v>888</v>
      </c>
      <c r="I237" s="2" t="s">
        <v>731</v>
      </c>
      <c r="J237" s="2">
        <v>3</v>
      </c>
      <c r="AE237" s="2" t="s">
        <v>694</v>
      </c>
      <c r="AF237" s="2">
        <v>12</v>
      </c>
      <c r="AG237" s="2">
        <v>12</v>
      </c>
      <c r="AH237" s="8">
        <v>0.67407341629390993</v>
      </c>
      <c r="AI237" s="8">
        <v>1</v>
      </c>
      <c r="AJ237" s="8">
        <v>0.5014168800840122</v>
      </c>
      <c r="AK237" s="8">
        <f>AVERAGE(AH237:AJ237)</f>
        <v>0.72516343212597401</v>
      </c>
      <c r="AS237" s="10">
        <f>AF237/32</f>
        <v>0.375</v>
      </c>
      <c r="AT237" s="10">
        <f>AG237/28</f>
        <v>0.42857142857142855</v>
      </c>
    </row>
    <row r="238" spans="1:46" x14ac:dyDescent="0.3">
      <c r="A238" s="2" t="s">
        <v>457</v>
      </c>
      <c r="B238" s="2" t="s">
        <v>131</v>
      </c>
      <c r="C238" s="2" t="s">
        <v>136</v>
      </c>
      <c r="D238" s="2" t="s">
        <v>145</v>
      </c>
      <c r="E238" s="2" t="s">
        <v>145</v>
      </c>
      <c r="F238" s="2" t="s">
        <v>672</v>
      </c>
      <c r="G238" s="2" t="s">
        <v>654</v>
      </c>
      <c r="H238" s="2" t="s">
        <v>888</v>
      </c>
      <c r="I238" s="2" t="s">
        <v>136</v>
      </c>
      <c r="J238" s="2">
        <v>3</v>
      </c>
      <c r="AE238" s="2">
        <v>2000</v>
      </c>
      <c r="AF238" s="2">
        <v>4</v>
      </c>
      <c r="AG238" s="2">
        <v>4</v>
      </c>
      <c r="AH238" s="8">
        <v>0.71631892636357686</v>
      </c>
      <c r="AI238" s="8">
        <v>0.9762002616480534</v>
      </c>
      <c r="AJ238" s="8">
        <v>0.45240341620702212</v>
      </c>
      <c r="AK238" s="8">
        <f>AVERAGE(AH238:AJ238)</f>
        <v>0.71497420140621737</v>
      </c>
      <c r="AS238" s="10">
        <f>AF238/32</f>
        <v>0.125</v>
      </c>
      <c r="AT238" s="10">
        <f>AG238/28</f>
        <v>0.14285714285714285</v>
      </c>
    </row>
    <row r="239" spans="1:46" x14ac:dyDescent="0.3">
      <c r="A239" s="2" t="s">
        <v>349</v>
      </c>
      <c r="B239" s="2" t="s">
        <v>52</v>
      </c>
      <c r="C239" s="2" t="s">
        <v>53</v>
      </c>
      <c r="D239" s="2" t="s">
        <v>53</v>
      </c>
      <c r="E239" s="3" t="s">
        <v>53</v>
      </c>
      <c r="F239" s="3" t="s">
        <v>662</v>
      </c>
      <c r="G239" s="2" t="s">
        <v>654</v>
      </c>
      <c r="H239" s="2" t="s">
        <v>888</v>
      </c>
      <c r="I239" s="2" t="s">
        <v>57</v>
      </c>
      <c r="J239" s="2">
        <v>3</v>
      </c>
      <c r="AE239" s="2" t="s">
        <v>679</v>
      </c>
      <c r="AF239" s="2">
        <v>8</v>
      </c>
      <c r="AG239" s="2">
        <v>8</v>
      </c>
      <c r="AH239" s="8">
        <v>0.70678663628566774</v>
      </c>
      <c r="AI239" s="8">
        <v>0.98493598911379798</v>
      </c>
      <c r="AJ239" s="8">
        <v>0.44958750766867794</v>
      </c>
      <c r="AK239" s="8">
        <f>AVERAGE(AH239:AJ239)</f>
        <v>0.71377004435604796</v>
      </c>
      <c r="AS239" s="10">
        <f>AF239/32</f>
        <v>0.25</v>
      </c>
      <c r="AT239" s="10">
        <f>AG239/28</f>
        <v>0.2857142857142857</v>
      </c>
    </row>
    <row r="240" spans="1:46" x14ac:dyDescent="0.3">
      <c r="A240" s="2" t="s">
        <v>515</v>
      </c>
      <c r="B240" s="2" t="s">
        <v>167</v>
      </c>
      <c r="C240" s="2" t="s">
        <v>639</v>
      </c>
      <c r="D240" s="2" t="s">
        <v>294</v>
      </c>
      <c r="E240" s="2" t="s">
        <v>184</v>
      </c>
      <c r="F240" s="2" t="s">
        <v>184</v>
      </c>
      <c r="G240" s="2" t="s">
        <v>655</v>
      </c>
      <c r="H240" s="2" t="s">
        <v>888</v>
      </c>
      <c r="I240" s="2" t="s">
        <v>294</v>
      </c>
      <c r="J240" s="2">
        <v>3</v>
      </c>
      <c r="AE240" s="2">
        <v>2012</v>
      </c>
      <c r="AF240" s="2">
        <v>4</v>
      </c>
      <c r="AG240" s="2">
        <v>4</v>
      </c>
      <c r="AH240" s="8">
        <v>0.65781860271154979</v>
      </c>
      <c r="AI240" s="8">
        <v>1</v>
      </c>
      <c r="AJ240" s="8">
        <v>0.47443387299132023</v>
      </c>
      <c r="AK240" s="8">
        <f>AVERAGE(AH240:AJ240)</f>
        <v>0.71075082523429012</v>
      </c>
      <c r="AS240" s="10">
        <f>AF240/32</f>
        <v>0.125</v>
      </c>
      <c r="AT240" s="10">
        <f>AG240/28</f>
        <v>0.14285714285714285</v>
      </c>
    </row>
    <row r="241" spans="1:46" x14ac:dyDescent="0.3">
      <c r="A241" s="2" t="s">
        <v>570</v>
      </c>
      <c r="B241" s="2" t="s">
        <v>201</v>
      </c>
      <c r="C241" s="2" t="s">
        <v>289</v>
      </c>
      <c r="D241" s="2" t="s">
        <v>224</v>
      </c>
      <c r="E241" s="2" t="s">
        <v>224</v>
      </c>
      <c r="F241" s="2" t="s">
        <v>224</v>
      </c>
      <c r="G241" s="2" t="s">
        <v>654</v>
      </c>
      <c r="H241" s="2" t="s">
        <v>888</v>
      </c>
      <c r="I241" s="2" t="s">
        <v>289</v>
      </c>
      <c r="J241" s="2">
        <v>3</v>
      </c>
      <c r="AE241" s="2" t="s">
        <v>699</v>
      </c>
      <c r="AF241" s="2">
        <v>8</v>
      </c>
      <c r="AG241" s="2">
        <v>4</v>
      </c>
      <c r="AH241" s="8">
        <v>0.73396664767602438</v>
      </c>
      <c r="AI241" s="8">
        <v>1</v>
      </c>
      <c r="AJ241" s="8">
        <v>0.39737944809699483</v>
      </c>
      <c r="AK241" s="8">
        <f>AVERAGE(AH241:AJ241)</f>
        <v>0.71044869859100646</v>
      </c>
      <c r="AS241" s="10">
        <f>AF241/32</f>
        <v>0.25</v>
      </c>
      <c r="AT241" s="10">
        <f>AG241/28</f>
        <v>0.14285714285714285</v>
      </c>
    </row>
    <row r="242" spans="1:46" x14ac:dyDescent="0.3">
      <c r="A242" s="2" t="s">
        <v>364</v>
      </c>
      <c r="B242" s="2" t="s">
        <v>58</v>
      </c>
      <c r="C242" s="2" t="s">
        <v>274</v>
      </c>
      <c r="D242" s="2" t="s">
        <v>274</v>
      </c>
      <c r="E242" s="2" t="s">
        <v>274</v>
      </c>
      <c r="F242" s="2" t="s">
        <v>662</v>
      </c>
      <c r="G242" s="2" t="s">
        <v>654</v>
      </c>
      <c r="H242" s="2" t="s">
        <v>888</v>
      </c>
      <c r="I242" s="2" t="s">
        <v>62</v>
      </c>
      <c r="J242" s="2">
        <v>3</v>
      </c>
      <c r="N242" s="4" t="s">
        <v>662</v>
      </c>
      <c r="P242" s="4" t="s">
        <v>662</v>
      </c>
      <c r="T242" s="4" t="s">
        <v>662</v>
      </c>
      <c r="U242" s="4" t="s">
        <v>662</v>
      </c>
      <c r="V242" s="4" t="s">
        <v>662</v>
      </c>
      <c r="W242" s="4" t="s">
        <v>662</v>
      </c>
      <c r="X242" s="4"/>
      <c r="Y242" s="4" t="s">
        <v>662</v>
      </c>
      <c r="Z242" s="4" t="s">
        <v>662</v>
      </c>
      <c r="AB242" s="4" t="s">
        <v>662</v>
      </c>
      <c r="AC242" s="4" t="s">
        <v>662</v>
      </c>
      <c r="AE242" s="4">
        <v>0</v>
      </c>
      <c r="AF242" s="2">
        <v>0</v>
      </c>
      <c r="AG242" s="4">
        <v>0</v>
      </c>
      <c r="AH242" s="8">
        <v>0.72391050963429815</v>
      </c>
      <c r="AI242" s="8">
        <v>1</v>
      </c>
      <c r="AJ242" s="8">
        <v>0.39640688693431625</v>
      </c>
      <c r="AK242" s="8">
        <f>AVERAGE(AH242:AJ242)</f>
        <v>0.70677246552287143</v>
      </c>
      <c r="AT242" s="10">
        <f>AG242/28</f>
        <v>0</v>
      </c>
    </row>
    <row r="243" spans="1:46" x14ac:dyDescent="0.3">
      <c r="A243" s="2" t="s">
        <v>606</v>
      </c>
      <c r="B243" s="2" t="s">
        <v>201</v>
      </c>
      <c r="C243" s="2" t="s">
        <v>241</v>
      </c>
      <c r="D243" s="2" t="s">
        <v>241</v>
      </c>
      <c r="E243" s="2" t="s">
        <v>252</v>
      </c>
      <c r="F243" s="2" t="s">
        <v>662</v>
      </c>
      <c r="G243" s="2" t="s">
        <v>654</v>
      </c>
      <c r="H243" s="2" t="s">
        <v>888</v>
      </c>
      <c r="I243" s="2" t="s">
        <v>241</v>
      </c>
      <c r="J243" s="2">
        <v>3</v>
      </c>
      <c r="AE243" s="2">
        <v>2004</v>
      </c>
      <c r="AF243" s="2">
        <v>4</v>
      </c>
      <c r="AG243" s="2">
        <v>4</v>
      </c>
      <c r="AH243" s="8">
        <v>0.64723070525470483</v>
      </c>
      <c r="AI243" s="8">
        <v>1</v>
      </c>
      <c r="AJ243" s="8">
        <v>0.47205168034043271</v>
      </c>
      <c r="AK243" s="8">
        <f>AVERAGE(AH243:AJ243)</f>
        <v>0.7064274618650459</v>
      </c>
      <c r="AS243" s="10">
        <f>AF243/32</f>
        <v>0.125</v>
      </c>
      <c r="AT243" s="10">
        <f>AG243/28</f>
        <v>0.14285714285714285</v>
      </c>
    </row>
    <row r="244" spans="1:46" x14ac:dyDescent="0.3">
      <c r="A244" s="2" t="s">
        <v>398</v>
      </c>
      <c r="B244" s="2" t="s">
        <v>70</v>
      </c>
      <c r="C244" s="2" t="s">
        <v>92</v>
      </c>
      <c r="D244" s="2" t="s">
        <v>92</v>
      </c>
      <c r="E244" s="3" t="s">
        <v>91</v>
      </c>
      <c r="F244" s="3" t="s">
        <v>662</v>
      </c>
      <c r="G244" s="2" t="s">
        <v>655</v>
      </c>
      <c r="H244" s="2" t="s">
        <v>888</v>
      </c>
      <c r="I244" s="2" t="s">
        <v>74</v>
      </c>
      <c r="J244" s="2">
        <v>3</v>
      </c>
      <c r="AE244" s="2">
        <v>2000</v>
      </c>
      <c r="AF244" s="2">
        <v>4</v>
      </c>
      <c r="AG244" s="2">
        <v>4</v>
      </c>
      <c r="AH244" s="8">
        <v>0.73751665514864162</v>
      </c>
      <c r="AI244" s="8">
        <v>1</v>
      </c>
      <c r="AJ244" s="8">
        <v>0.38155277039157731</v>
      </c>
      <c r="AK244" s="8">
        <f>AVERAGE(AH244:AJ244)</f>
        <v>0.70635647518007294</v>
      </c>
      <c r="AS244" s="10">
        <f>AF244/32</f>
        <v>0.125</v>
      </c>
      <c r="AT244" s="10">
        <f>AG244/28</f>
        <v>0.14285714285714285</v>
      </c>
    </row>
    <row r="245" spans="1:46" x14ac:dyDescent="0.3">
      <c r="A245" s="2" t="s">
        <v>506</v>
      </c>
      <c r="B245" s="2" t="s">
        <v>167</v>
      </c>
      <c r="C245" s="2" t="s">
        <v>176</v>
      </c>
      <c r="D245" s="2" t="s">
        <v>181</v>
      </c>
      <c r="E245" s="2" t="s">
        <v>181</v>
      </c>
      <c r="F245" s="2" t="s">
        <v>662</v>
      </c>
      <c r="G245" s="2" t="s">
        <v>654</v>
      </c>
      <c r="H245" s="2" t="s">
        <v>888</v>
      </c>
      <c r="I245" s="2" t="s">
        <v>179</v>
      </c>
      <c r="J245" s="2">
        <v>3</v>
      </c>
      <c r="AE245" s="2">
        <v>2012</v>
      </c>
      <c r="AF245" s="2">
        <v>4</v>
      </c>
      <c r="AG245" s="2">
        <v>4</v>
      </c>
      <c r="AH245" s="8">
        <v>0.69876472596954031</v>
      </c>
      <c r="AI245" s="8">
        <v>0.88607770215701542</v>
      </c>
      <c r="AJ245" s="8">
        <v>0.50217906294706838</v>
      </c>
      <c r="AK245" s="8">
        <f>AVERAGE(AH245:AJ245)</f>
        <v>0.69567383035787467</v>
      </c>
      <c r="AS245" s="10">
        <f>AF245/32</f>
        <v>0.125</v>
      </c>
      <c r="AT245" s="10">
        <f>AG245/28</f>
        <v>0.14285714285714285</v>
      </c>
    </row>
    <row r="246" spans="1:46" x14ac:dyDescent="0.3">
      <c r="A246" s="2" t="s">
        <v>330</v>
      </c>
      <c r="B246" s="2" t="s">
        <v>27</v>
      </c>
      <c r="C246" s="2" t="s">
        <v>35</v>
      </c>
      <c r="D246" s="2" t="s">
        <v>35</v>
      </c>
      <c r="E246" s="3" t="s">
        <v>35</v>
      </c>
      <c r="F246" s="3" t="s">
        <v>662</v>
      </c>
      <c r="G246" s="2" t="s">
        <v>654</v>
      </c>
      <c r="H246" s="2" t="s">
        <v>888</v>
      </c>
      <c r="I246" s="2" t="s">
        <v>36</v>
      </c>
      <c r="J246" s="2">
        <v>3</v>
      </c>
      <c r="AE246" s="2">
        <v>2008</v>
      </c>
      <c r="AF246" s="2">
        <v>4</v>
      </c>
      <c r="AG246" s="2">
        <v>4</v>
      </c>
      <c r="AH246" s="8">
        <v>0.654811487536476</v>
      </c>
      <c r="AI246" s="8">
        <v>0.70426692011304348</v>
      </c>
      <c r="AJ246" s="8">
        <v>0.72766722205254353</v>
      </c>
      <c r="AK246" s="8">
        <f>AVERAGE(AH246:AJ246)</f>
        <v>0.69558187656735437</v>
      </c>
      <c r="AS246" s="10">
        <f>AF246/32</f>
        <v>0.125</v>
      </c>
      <c r="AT246" s="10">
        <f>AG246/28</f>
        <v>0.14285714285714285</v>
      </c>
    </row>
    <row r="247" spans="1:46" x14ac:dyDescent="0.3">
      <c r="A247" s="2" t="s">
        <v>498</v>
      </c>
      <c r="B247" s="2" t="s">
        <v>167</v>
      </c>
      <c r="C247" s="2" t="s">
        <v>177</v>
      </c>
      <c r="D247" s="2" t="s">
        <v>293</v>
      </c>
      <c r="E247" s="2" t="s">
        <v>293</v>
      </c>
      <c r="F247" s="2" t="s">
        <v>662</v>
      </c>
      <c r="G247" s="2" t="s">
        <v>655</v>
      </c>
      <c r="H247" s="2" t="s">
        <v>888</v>
      </c>
      <c r="I247" s="2" t="s">
        <v>177</v>
      </c>
      <c r="J247" s="2">
        <v>3</v>
      </c>
      <c r="AH247" s="8">
        <v>0.64456099244700849</v>
      </c>
      <c r="AI247" s="8">
        <v>1</v>
      </c>
      <c r="AJ247" s="8">
        <v>0.42553458878499451</v>
      </c>
      <c r="AK247" s="8">
        <f>AVERAGE(AH247:AJ247)</f>
        <v>0.69003186041066755</v>
      </c>
    </row>
    <row r="248" spans="1:46" x14ac:dyDescent="0.3">
      <c r="A248" s="2" t="s">
        <v>361</v>
      </c>
      <c r="B248" s="2" t="s">
        <v>58</v>
      </c>
      <c r="C248" s="2" t="s">
        <v>646</v>
      </c>
      <c r="D248" s="2" t="s">
        <v>648</v>
      </c>
      <c r="E248" s="3" t="s">
        <v>61</v>
      </c>
      <c r="F248" s="3" t="s">
        <v>61</v>
      </c>
      <c r="G248" s="2" t="s">
        <v>655</v>
      </c>
      <c r="H248" s="2" t="s">
        <v>888</v>
      </c>
      <c r="I248" s="2" t="s">
        <v>62</v>
      </c>
      <c r="J248" s="2">
        <v>3</v>
      </c>
      <c r="AE248" s="2" t="s">
        <v>705</v>
      </c>
      <c r="AF248" s="2">
        <v>12</v>
      </c>
      <c r="AG248" s="2">
        <v>12</v>
      </c>
      <c r="AH248" s="8">
        <v>0.64424511876071355</v>
      </c>
      <c r="AI248" s="8">
        <v>0.90750100347457485</v>
      </c>
      <c r="AJ248" s="8">
        <v>0.5118196056588743</v>
      </c>
      <c r="AK248" s="8">
        <f>AVERAGE(AH248:AJ248)</f>
        <v>0.68785524263138764</v>
      </c>
      <c r="AS248" s="10">
        <f>AF248/32</f>
        <v>0.375</v>
      </c>
      <c r="AT248" s="10">
        <f>AG248/28</f>
        <v>0.42857142857142855</v>
      </c>
    </row>
    <row r="249" spans="1:46" x14ac:dyDescent="0.3">
      <c r="A249" s="2" t="s">
        <v>386</v>
      </c>
      <c r="B249" s="2" t="s">
        <v>70</v>
      </c>
      <c r="C249" s="2" t="s">
        <v>98</v>
      </c>
      <c r="D249" s="2" t="s">
        <v>81</v>
      </c>
      <c r="E249" s="3" t="s">
        <v>81</v>
      </c>
      <c r="F249" s="3" t="s">
        <v>662</v>
      </c>
      <c r="G249" s="2" t="s">
        <v>655</v>
      </c>
      <c r="H249" s="2" t="s">
        <v>888</v>
      </c>
      <c r="I249" s="2" t="s">
        <v>74</v>
      </c>
      <c r="J249" s="2">
        <v>3</v>
      </c>
      <c r="AE249" s="2">
        <v>2008</v>
      </c>
      <c r="AF249" s="2">
        <v>4</v>
      </c>
      <c r="AG249" s="2">
        <v>4</v>
      </c>
      <c r="AH249" s="8">
        <v>0.65810715120588481</v>
      </c>
      <c r="AI249" s="8">
        <v>1</v>
      </c>
      <c r="AJ249" s="8">
        <v>0.3776110264560737</v>
      </c>
      <c r="AK249" s="8">
        <f>AVERAGE(AH249:AJ249)</f>
        <v>0.67857272588731954</v>
      </c>
      <c r="AS249" s="10">
        <f>AF249/32</f>
        <v>0.125</v>
      </c>
      <c r="AT249" s="10">
        <f>AG249/28</f>
        <v>0.14285714285714285</v>
      </c>
    </row>
    <row r="250" spans="1:46" x14ac:dyDescent="0.3">
      <c r="A250" s="2" t="s">
        <v>397</v>
      </c>
      <c r="B250" s="2" t="s">
        <v>70</v>
      </c>
      <c r="C250" s="2" t="s">
        <v>74</v>
      </c>
      <c r="D250" s="2" t="s">
        <v>625</v>
      </c>
      <c r="E250" s="3" t="s">
        <v>90</v>
      </c>
      <c r="F250" s="3" t="s">
        <v>662</v>
      </c>
      <c r="G250" s="2" t="s">
        <v>655</v>
      </c>
      <c r="H250" s="2" t="s">
        <v>888</v>
      </c>
      <c r="I250" s="2" t="s">
        <v>74</v>
      </c>
      <c r="J250" s="2">
        <v>3</v>
      </c>
      <c r="AE250" s="2" t="s">
        <v>682</v>
      </c>
      <c r="AF250" s="2">
        <v>8</v>
      </c>
      <c r="AG250" s="2">
        <v>8</v>
      </c>
      <c r="AH250" s="8">
        <v>0.56749666671343424</v>
      </c>
      <c r="AI250" s="8">
        <v>1</v>
      </c>
      <c r="AJ250" s="8">
        <v>0.46671185819992206</v>
      </c>
      <c r="AK250" s="8">
        <f>AVERAGE(AH250:AJ250)</f>
        <v>0.67806950830445212</v>
      </c>
      <c r="AS250" s="10">
        <f>AF250/32</f>
        <v>0.25</v>
      </c>
      <c r="AT250" s="10">
        <f>AG250/28</f>
        <v>0.2857142857142857</v>
      </c>
    </row>
    <row r="251" spans="1:46" x14ac:dyDescent="0.3">
      <c r="A251" s="2" t="s">
        <v>526</v>
      </c>
      <c r="B251" s="2" t="s">
        <v>186</v>
      </c>
      <c r="C251" s="2" t="s">
        <v>192</v>
      </c>
      <c r="D251" s="2" t="s">
        <v>192</v>
      </c>
      <c r="E251" s="2" t="s">
        <v>301</v>
      </c>
      <c r="F251" s="2" t="s">
        <v>301</v>
      </c>
      <c r="G251" s="2" t="s">
        <v>655</v>
      </c>
      <c r="H251" s="2" t="s">
        <v>888</v>
      </c>
      <c r="I251" s="2" t="s">
        <v>192</v>
      </c>
      <c r="J251" s="2">
        <v>3</v>
      </c>
      <c r="AH251" s="8">
        <v>0.67724543653647495</v>
      </c>
      <c r="AI251" s="8">
        <v>0.9697382762994341</v>
      </c>
      <c r="AJ251" s="8">
        <v>0.37553547276648919</v>
      </c>
      <c r="AK251" s="8">
        <f>AVERAGE(AH251:AJ251)</f>
        <v>0.67417306186746606</v>
      </c>
    </row>
    <row r="252" spans="1:46" x14ac:dyDescent="0.3">
      <c r="A252" s="2" t="s">
        <v>540</v>
      </c>
      <c r="B252" s="2" t="s">
        <v>201</v>
      </c>
      <c r="C252" s="2" t="s">
        <v>205</v>
      </c>
      <c r="D252" s="2" t="s">
        <v>204</v>
      </c>
      <c r="E252" s="2" t="s">
        <v>204</v>
      </c>
      <c r="F252" s="2" t="s">
        <v>662</v>
      </c>
      <c r="G252" s="2" t="s">
        <v>655</v>
      </c>
      <c r="H252" s="2" t="s">
        <v>888</v>
      </c>
      <c r="I252" s="2" t="s">
        <v>205</v>
      </c>
      <c r="J252" s="2">
        <v>3</v>
      </c>
      <c r="AE252" s="2">
        <v>2012</v>
      </c>
      <c r="AF252" s="2">
        <v>4</v>
      </c>
      <c r="AG252" s="2">
        <v>4</v>
      </c>
      <c r="AH252" s="8">
        <v>0.61462004422854821</v>
      </c>
      <c r="AI252" s="8">
        <v>1</v>
      </c>
      <c r="AJ252" s="8">
        <v>0.39235705687339062</v>
      </c>
      <c r="AK252" s="8">
        <f>AVERAGE(AH252:AJ252)</f>
        <v>0.66899236703397957</v>
      </c>
      <c r="AS252" s="10">
        <f>AF252/32</f>
        <v>0.125</v>
      </c>
      <c r="AT252" s="10">
        <f>AG252/28</f>
        <v>0.14285714285714285</v>
      </c>
    </row>
    <row r="253" spans="1:46" x14ac:dyDescent="0.3">
      <c r="A253" s="2" t="s">
        <v>586</v>
      </c>
      <c r="B253" s="2" t="s">
        <v>201</v>
      </c>
      <c r="C253" s="2" t="s">
        <v>634</v>
      </c>
      <c r="D253" s="2" t="s">
        <v>235</v>
      </c>
      <c r="E253" s="2" t="s">
        <v>235</v>
      </c>
      <c r="F253" s="2" t="s">
        <v>235</v>
      </c>
      <c r="G253" s="2" t="s">
        <v>654</v>
      </c>
      <c r="H253" s="2" t="s">
        <v>888</v>
      </c>
      <c r="I253" s="2" t="s">
        <v>249</v>
      </c>
      <c r="J253" s="2">
        <v>3</v>
      </c>
      <c r="AE253" s="2">
        <v>2000</v>
      </c>
      <c r="AF253" s="2">
        <v>4</v>
      </c>
      <c r="AG253" s="2">
        <v>4</v>
      </c>
      <c r="AH253" s="8">
        <v>0.69058003268222068</v>
      </c>
      <c r="AI253" s="8">
        <v>0.97881122207762783</v>
      </c>
      <c r="AJ253" s="8">
        <v>0.33550248772539032</v>
      </c>
      <c r="AK253" s="8">
        <f>AVERAGE(AH253:AJ253)</f>
        <v>0.66829791416174622</v>
      </c>
      <c r="AS253" s="10">
        <f>AF253/32</f>
        <v>0.125</v>
      </c>
      <c r="AT253" s="10">
        <f>AG253/28</f>
        <v>0.14285714285714285</v>
      </c>
    </row>
    <row r="254" spans="1:46" x14ac:dyDescent="0.3">
      <c r="A254" s="2" t="s">
        <v>389</v>
      </c>
      <c r="B254" s="2" t="s">
        <v>70</v>
      </c>
      <c r="C254" s="2" t="s">
        <v>77</v>
      </c>
      <c r="D254" s="2" t="s">
        <v>77</v>
      </c>
      <c r="E254" s="3" t="s">
        <v>85</v>
      </c>
      <c r="F254" s="3" t="s">
        <v>85</v>
      </c>
      <c r="G254" s="2" t="s">
        <v>655</v>
      </c>
      <c r="H254" s="2" t="s">
        <v>888</v>
      </c>
      <c r="I254" s="2" t="s">
        <v>74</v>
      </c>
      <c r="J254" s="2">
        <v>3</v>
      </c>
      <c r="N254" s="4" t="s">
        <v>662</v>
      </c>
      <c r="P254" s="4" t="s">
        <v>662</v>
      </c>
      <c r="T254" s="4" t="s">
        <v>662</v>
      </c>
      <c r="U254" s="2" t="s">
        <v>725</v>
      </c>
      <c r="V254" s="5" t="s">
        <v>662</v>
      </c>
      <c r="W254" s="5" t="s">
        <v>662</v>
      </c>
      <c r="Y254" s="5" t="s">
        <v>662</v>
      </c>
      <c r="Z254" s="5" t="s">
        <v>662</v>
      </c>
      <c r="AB254" s="5" t="s">
        <v>662</v>
      </c>
      <c r="AC254" s="5" t="s">
        <v>662</v>
      </c>
      <c r="AE254" s="2">
        <v>2008</v>
      </c>
      <c r="AF254" s="2">
        <v>4</v>
      </c>
      <c r="AG254" s="2">
        <v>4</v>
      </c>
      <c r="AH254" s="8">
        <v>0.59388511541951827</v>
      </c>
      <c r="AI254" s="8">
        <v>0.99549673286867235</v>
      </c>
      <c r="AJ254" s="8">
        <v>0.41198510093542723</v>
      </c>
      <c r="AK254" s="8">
        <f>AVERAGE(AH254:AJ254)</f>
        <v>0.66712231640787267</v>
      </c>
      <c r="AQ254" s="10">
        <v>0</v>
      </c>
      <c r="AR254" s="10">
        <v>0</v>
      </c>
      <c r="AS254" s="10">
        <f>AF254/32</f>
        <v>0.125</v>
      </c>
      <c r="AT254" s="10">
        <f>AG254/28</f>
        <v>0.14285714285714285</v>
      </c>
    </row>
    <row r="255" spans="1:46" x14ac:dyDescent="0.3">
      <c r="A255" s="2" t="s">
        <v>572</v>
      </c>
      <c r="B255" s="2" t="s">
        <v>201</v>
      </c>
      <c r="C255" s="2" t="s">
        <v>215</v>
      </c>
      <c r="D255" s="2" t="s">
        <v>633</v>
      </c>
      <c r="E255" s="2" t="s">
        <v>226</v>
      </c>
      <c r="F255" s="2" t="s">
        <v>662</v>
      </c>
      <c r="G255" s="2" t="s">
        <v>655</v>
      </c>
      <c r="H255" s="2" t="s">
        <v>888</v>
      </c>
      <c r="I255" s="2" t="s">
        <v>670</v>
      </c>
      <c r="J255" s="2">
        <v>3</v>
      </c>
      <c r="AE255" s="2">
        <v>2008</v>
      </c>
      <c r="AF255" s="2">
        <v>4</v>
      </c>
      <c r="AG255" s="2">
        <v>4</v>
      </c>
      <c r="AH255" s="8">
        <v>0.5240738022249336</v>
      </c>
      <c r="AI255" s="8">
        <v>1</v>
      </c>
      <c r="AJ255" s="8">
        <v>0.45427943558263978</v>
      </c>
      <c r="AK255" s="8">
        <f>AVERAGE(AH255:AJ255)</f>
        <v>0.65945107926919111</v>
      </c>
      <c r="AS255" s="10">
        <f>AF255/32</f>
        <v>0.125</v>
      </c>
      <c r="AT255" s="10">
        <f>AG255/28</f>
        <v>0.14285714285714285</v>
      </c>
    </row>
    <row r="256" spans="1:46" x14ac:dyDescent="0.3">
      <c r="A256" s="2" t="s">
        <v>411</v>
      </c>
      <c r="B256" s="2" t="s">
        <v>70</v>
      </c>
      <c r="C256" s="2" t="s">
        <v>87</v>
      </c>
      <c r="D256" s="2" t="s">
        <v>99</v>
      </c>
      <c r="E256" s="3" t="s">
        <v>99</v>
      </c>
      <c r="F256" s="3" t="s">
        <v>99</v>
      </c>
      <c r="G256" s="2" t="s">
        <v>655</v>
      </c>
      <c r="H256" s="2" t="s">
        <v>888</v>
      </c>
      <c r="I256" s="2" t="s">
        <v>74</v>
      </c>
      <c r="J256" s="2">
        <v>3</v>
      </c>
      <c r="AE256" s="2" t="s">
        <v>710</v>
      </c>
      <c r="AF256" s="2">
        <v>12</v>
      </c>
      <c r="AG256" s="2">
        <v>8</v>
      </c>
      <c r="AH256" s="8">
        <v>0.74759944084499819</v>
      </c>
      <c r="AI256" s="8">
        <v>0.95426559526616728</v>
      </c>
      <c r="AJ256" s="8">
        <v>0.26236714228519692</v>
      </c>
      <c r="AK256" s="8">
        <f>AVERAGE(AH256:AJ256)</f>
        <v>0.65474405946545411</v>
      </c>
      <c r="AS256" s="10">
        <f>AF256/32</f>
        <v>0.375</v>
      </c>
      <c r="AT256" s="10">
        <f>AG256/28</f>
        <v>0.2857142857142857</v>
      </c>
    </row>
    <row r="257" spans="1:46" x14ac:dyDescent="0.3">
      <c r="A257" s="2" t="s">
        <v>539</v>
      </c>
      <c r="B257" s="2" t="s">
        <v>201</v>
      </c>
      <c r="C257" s="2" t="s">
        <v>215</v>
      </c>
      <c r="D257" s="2" t="s">
        <v>203</v>
      </c>
      <c r="E257" s="2" t="s">
        <v>203</v>
      </c>
      <c r="F257" s="2" t="s">
        <v>203</v>
      </c>
      <c r="G257" s="2" t="s">
        <v>655</v>
      </c>
      <c r="H257" s="2" t="s">
        <v>888</v>
      </c>
      <c r="I257" s="2" t="s">
        <v>731</v>
      </c>
      <c r="J257" s="2">
        <v>3</v>
      </c>
      <c r="U257" s="2" t="s">
        <v>725</v>
      </c>
      <c r="AE257" s="2" t="s">
        <v>679</v>
      </c>
      <c r="AF257" s="2">
        <v>8</v>
      </c>
      <c r="AG257" s="2">
        <v>8</v>
      </c>
      <c r="AH257" s="8">
        <v>0.61033955828406239</v>
      </c>
      <c r="AI257" s="8">
        <v>1</v>
      </c>
      <c r="AJ257" s="8">
        <v>0.33429037819220336</v>
      </c>
      <c r="AK257" s="8">
        <f>AVERAGE(AH257:AJ257)</f>
        <v>0.64820997882542186</v>
      </c>
      <c r="AQ257" s="10">
        <v>0</v>
      </c>
      <c r="AR257" s="10">
        <v>0</v>
      </c>
      <c r="AS257" s="10">
        <f>AF257/32</f>
        <v>0.25</v>
      </c>
      <c r="AT257" s="10">
        <f>AG257/28</f>
        <v>0.2857142857142857</v>
      </c>
    </row>
    <row r="258" spans="1:46" x14ac:dyDescent="0.3">
      <c r="A258" s="2" t="s">
        <v>573</v>
      </c>
      <c r="B258" s="2" t="s">
        <v>201</v>
      </c>
      <c r="C258" s="2" t="s">
        <v>215</v>
      </c>
      <c r="D258" s="2" t="s">
        <v>229</v>
      </c>
      <c r="E258" s="2" t="s">
        <v>284</v>
      </c>
      <c r="F258" s="2" t="s">
        <v>662</v>
      </c>
      <c r="G258" s="2" t="s">
        <v>655</v>
      </c>
      <c r="H258" s="2" t="s">
        <v>888</v>
      </c>
      <c r="I258" s="2" t="s">
        <v>249</v>
      </c>
      <c r="J258" s="2">
        <v>3</v>
      </c>
      <c r="N258" s="4" t="s">
        <v>662</v>
      </c>
      <c r="P258" s="4" t="s">
        <v>662</v>
      </c>
      <c r="T258" s="4" t="s">
        <v>662</v>
      </c>
      <c r="U258" s="4" t="s">
        <v>662</v>
      </c>
      <c r="V258" s="4" t="s">
        <v>662</v>
      </c>
      <c r="W258" s="4" t="s">
        <v>662</v>
      </c>
      <c r="X258" s="4"/>
      <c r="Y258" s="4" t="s">
        <v>662</v>
      </c>
      <c r="Z258" s="4" t="s">
        <v>662</v>
      </c>
      <c r="AA258" s="4"/>
      <c r="AB258" s="4" t="s">
        <v>662</v>
      </c>
      <c r="AC258" s="4" t="s">
        <v>662</v>
      </c>
      <c r="AE258" s="2">
        <v>0</v>
      </c>
      <c r="AF258" s="2">
        <v>0</v>
      </c>
      <c r="AG258" s="4">
        <v>0</v>
      </c>
      <c r="AH258" s="8">
        <v>0.54841459175593399</v>
      </c>
      <c r="AI258" s="8">
        <v>1</v>
      </c>
      <c r="AJ258" s="8">
        <v>0.39241278256643336</v>
      </c>
      <c r="AK258" s="8">
        <f>AVERAGE(AH258:AJ258)</f>
        <v>0.64694245810745576</v>
      </c>
      <c r="AT258" s="10">
        <f>AG258/28</f>
        <v>0</v>
      </c>
    </row>
    <row r="259" spans="1:46" x14ac:dyDescent="0.3">
      <c r="A259" s="2" t="s">
        <v>359</v>
      </c>
      <c r="B259" s="2" t="s">
        <v>58</v>
      </c>
      <c r="C259" s="2" t="s">
        <v>276</v>
      </c>
      <c r="D259" s="2" t="s">
        <v>647</v>
      </c>
      <c r="E259" s="2" t="s">
        <v>273</v>
      </c>
      <c r="F259" s="2" t="s">
        <v>273</v>
      </c>
      <c r="G259" s="2" t="s">
        <v>655</v>
      </c>
      <c r="H259" s="2" t="s">
        <v>888</v>
      </c>
      <c r="I259" s="2" t="s">
        <v>62</v>
      </c>
      <c r="J259" s="2">
        <v>3</v>
      </c>
      <c r="N259" s="4" t="s">
        <v>662</v>
      </c>
      <c r="P259" s="4" t="s">
        <v>662</v>
      </c>
      <c r="T259" s="4" t="s">
        <v>662</v>
      </c>
      <c r="U259" s="4" t="s">
        <v>662</v>
      </c>
      <c r="V259" s="4" t="s">
        <v>662</v>
      </c>
      <c r="W259" s="4" t="s">
        <v>662</v>
      </c>
      <c r="X259" s="4"/>
      <c r="Y259" s="4" t="s">
        <v>662</v>
      </c>
      <c r="Z259" s="4" t="s">
        <v>662</v>
      </c>
      <c r="AA259" s="4"/>
      <c r="AB259" s="4" t="s">
        <v>662</v>
      </c>
      <c r="AC259" s="4" t="s">
        <v>662</v>
      </c>
      <c r="AE259" s="2">
        <v>0</v>
      </c>
      <c r="AF259" s="2">
        <v>0</v>
      </c>
      <c r="AG259" s="4">
        <v>0</v>
      </c>
      <c r="AH259" s="8">
        <v>0.58088737486850694</v>
      </c>
      <c r="AI259" s="8">
        <v>0.9985918652923178</v>
      </c>
      <c r="AJ259" s="8">
        <v>0.34649045135253304</v>
      </c>
      <c r="AK259" s="8">
        <f>AVERAGE(AH259:AJ259)</f>
        <v>0.64198989717111921</v>
      </c>
      <c r="AT259" s="10">
        <f>AG259/28</f>
        <v>0</v>
      </c>
    </row>
    <row r="260" spans="1:46" x14ac:dyDescent="0.3">
      <c r="A260" s="2" t="s">
        <v>441</v>
      </c>
      <c r="B260" s="2" t="s">
        <v>131</v>
      </c>
      <c r="C260" s="2" t="s">
        <v>139</v>
      </c>
      <c r="D260" s="2" t="s">
        <v>133</v>
      </c>
      <c r="E260" s="2" t="s">
        <v>133</v>
      </c>
      <c r="F260" s="2" t="s">
        <v>662</v>
      </c>
      <c r="G260" s="2" t="s">
        <v>654</v>
      </c>
      <c r="H260" s="2" t="s">
        <v>888</v>
      </c>
      <c r="I260" s="2" t="s">
        <v>139</v>
      </c>
      <c r="J260" s="2">
        <v>3</v>
      </c>
      <c r="N260" s="4" t="s">
        <v>662</v>
      </c>
      <c r="P260" s="4" t="s">
        <v>662</v>
      </c>
      <c r="T260" s="4" t="s">
        <v>662</v>
      </c>
      <c r="U260" s="2" t="s">
        <v>725</v>
      </c>
      <c r="V260" s="5" t="s">
        <v>662</v>
      </c>
      <c r="W260" s="5" t="s">
        <v>662</v>
      </c>
      <c r="Y260" s="5" t="s">
        <v>662</v>
      </c>
      <c r="Z260" s="5" t="s">
        <v>662</v>
      </c>
      <c r="AB260" s="5" t="s">
        <v>662</v>
      </c>
      <c r="AC260" s="5" t="s">
        <v>662</v>
      </c>
      <c r="AE260" s="2">
        <v>2004</v>
      </c>
      <c r="AF260" s="2">
        <v>4</v>
      </c>
      <c r="AG260" s="2">
        <v>4</v>
      </c>
      <c r="AH260" s="8">
        <v>0.71948506328661133</v>
      </c>
      <c r="AI260" s="8">
        <v>0.80664319222378789</v>
      </c>
      <c r="AJ260" s="8">
        <v>0.39531750071645744</v>
      </c>
      <c r="AK260" s="8">
        <f>AVERAGE(AH260:AJ260)</f>
        <v>0.64048191874228555</v>
      </c>
      <c r="AQ260" s="10">
        <v>0</v>
      </c>
      <c r="AR260" s="10">
        <v>0</v>
      </c>
      <c r="AS260" s="10">
        <f>AF260/32</f>
        <v>0.125</v>
      </c>
      <c r="AT260" s="10">
        <f>AG260/28</f>
        <v>0.14285714285714285</v>
      </c>
    </row>
    <row r="261" spans="1:46" x14ac:dyDescent="0.3">
      <c r="A261" s="2" t="s">
        <v>485</v>
      </c>
      <c r="B261" s="2" t="s">
        <v>167</v>
      </c>
      <c r="C261" s="2" t="s">
        <v>100</v>
      </c>
      <c r="D261" s="2" t="s">
        <v>170</v>
      </c>
      <c r="E261" s="2" t="s">
        <v>170</v>
      </c>
      <c r="F261" s="2" t="s">
        <v>170</v>
      </c>
      <c r="G261" s="2" t="s">
        <v>654</v>
      </c>
      <c r="H261" s="2" t="s">
        <v>888</v>
      </c>
      <c r="I261" s="2" t="s">
        <v>100</v>
      </c>
      <c r="J261" s="2">
        <v>3</v>
      </c>
      <c r="AE261" s="2">
        <v>2012</v>
      </c>
      <c r="AF261" s="2">
        <v>4</v>
      </c>
      <c r="AG261" s="2">
        <v>4</v>
      </c>
      <c r="AH261" s="8">
        <v>0.65048509583799574</v>
      </c>
      <c r="AI261" s="8">
        <v>1</v>
      </c>
      <c r="AJ261" s="8">
        <v>0.27027955076137272</v>
      </c>
      <c r="AK261" s="8">
        <f>AVERAGE(AH261:AJ261)</f>
        <v>0.64025488219978943</v>
      </c>
      <c r="AS261" s="10">
        <f>AF261/32</f>
        <v>0.125</v>
      </c>
      <c r="AT261" s="10">
        <f>AG261/28</f>
        <v>0.14285714285714285</v>
      </c>
    </row>
    <row r="262" spans="1:46" x14ac:dyDescent="0.3">
      <c r="A262" s="2" t="s">
        <v>571</v>
      </c>
      <c r="B262" s="2" t="s">
        <v>201</v>
      </c>
      <c r="C262" s="2" t="s">
        <v>289</v>
      </c>
      <c r="D262" s="2" t="s">
        <v>225</v>
      </c>
      <c r="E262" s="2" t="s">
        <v>225</v>
      </c>
      <c r="F262" s="2" t="s">
        <v>662</v>
      </c>
      <c r="G262" s="2" t="s">
        <v>654</v>
      </c>
      <c r="H262" s="2" t="s">
        <v>888</v>
      </c>
      <c r="I262" s="2" t="s">
        <v>249</v>
      </c>
      <c r="J262" s="2">
        <v>3</v>
      </c>
      <c r="AE262" s="2" t="s">
        <v>679</v>
      </c>
      <c r="AF262" s="2">
        <v>8</v>
      </c>
      <c r="AG262" s="2">
        <v>8</v>
      </c>
      <c r="AH262" s="8">
        <v>0.61992768102087692</v>
      </c>
      <c r="AI262" s="8">
        <v>0.9254956283374125</v>
      </c>
      <c r="AJ262" s="8">
        <v>0.36555484848407832</v>
      </c>
      <c r="AK262" s="8">
        <f>AVERAGE(AH262:AJ262)</f>
        <v>0.63699271928078927</v>
      </c>
      <c r="AS262" s="10">
        <f>AF262/32</f>
        <v>0.25</v>
      </c>
      <c r="AT262" s="10">
        <f>AG262/28</f>
        <v>0.2857142857142857</v>
      </c>
    </row>
    <row r="263" spans="1:46" x14ac:dyDescent="0.3">
      <c r="A263" s="2" t="s">
        <v>513</v>
      </c>
      <c r="B263" s="2" t="s">
        <v>167</v>
      </c>
      <c r="C263" s="2" t="s">
        <v>179</v>
      </c>
      <c r="D263" s="2" t="s">
        <v>306</v>
      </c>
      <c r="E263" s="2" t="s">
        <v>306</v>
      </c>
      <c r="F263" s="2" t="s">
        <v>306</v>
      </c>
      <c r="G263" s="2" t="s">
        <v>655</v>
      </c>
      <c r="H263" s="2" t="s">
        <v>888</v>
      </c>
      <c r="I263" s="2" t="s">
        <v>179</v>
      </c>
      <c r="J263" s="2">
        <v>3</v>
      </c>
      <c r="AH263" s="8">
        <v>0.58021645488245333</v>
      </c>
      <c r="AI263" s="8">
        <v>0.99971383713648787</v>
      </c>
      <c r="AJ263" s="8">
        <v>0.30437799811616295</v>
      </c>
      <c r="AK263" s="8">
        <f>AVERAGE(AH263:AJ263)</f>
        <v>0.62810276337836801</v>
      </c>
    </row>
    <row r="264" spans="1:46" x14ac:dyDescent="0.3">
      <c r="A264" s="2" t="s">
        <v>390</v>
      </c>
      <c r="B264" s="2" t="s">
        <v>70</v>
      </c>
      <c r="C264" s="2" t="s">
        <v>82</v>
      </c>
      <c r="D264" s="2" t="s">
        <v>86</v>
      </c>
      <c r="E264" s="3" t="s">
        <v>86</v>
      </c>
      <c r="F264" s="3" t="s">
        <v>86</v>
      </c>
      <c r="G264" s="2" t="s">
        <v>655</v>
      </c>
      <c r="H264" s="2" t="s">
        <v>888</v>
      </c>
      <c r="I264" s="2" t="s">
        <v>74</v>
      </c>
      <c r="J264" s="2">
        <v>3</v>
      </c>
      <c r="AE264" s="2" t="s">
        <v>688</v>
      </c>
      <c r="AF264" s="2">
        <v>8</v>
      </c>
      <c r="AG264" s="2">
        <v>4</v>
      </c>
      <c r="AH264" s="8">
        <v>0.58575427912483624</v>
      </c>
      <c r="AI264" s="8">
        <v>1</v>
      </c>
      <c r="AJ264" s="8">
        <v>0.29092812485137598</v>
      </c>
      <c r="AK264" s="8">
        <f>AVERAGE(AH264:AJ264)</f>
        <v>0.62556080132540404</v>
      </c>
      <c r="AS264" s="10">
        <f>AF264/32</f>
        <v>0.25</v>
      </c>
      <c r="AT264" s="10">
        <f>AG264/28</f>
        <v>0.14285714285714285</v>
      </c>
    </row>
    <row r="265" spans="1:46" x14ac:dyDescent="0.3">
      <c r="A265" s="2" t="s">
        <v>583</v>
      </c>
      <c r="B265" s="2" t="s">
        <v>201</v>
      </c>
      <c r="C265" s="2" t="s">
        <v>215</v>
      </c>
      <c r="D265" s="2" t="s">
        <v>633</v>
      </c>
      <c r="E265" s="2" t="s">
        <v>234</v>
      </c>
      <c r="F265" s="2" t="s">
        <v>670</v>
      </c>
      <c r="G265" s="2" t="s">
        <v>654</v>
      </c>
      <c r="H265" s="2" t="s">
        <v>888</v>
      </c>
      <c r="I265" s="2" t="s">
        <v>215</v>
      </c>
      <c r="J265" s="2">
        <v>3</v>
      </c>
      <c r="AE265" s="2" t="s">
        <v>678</v>
      </c>
      <c r="AF265" s="2">
        <v>8</v>
      </c>
      <c r="AG265" s="2">
        <v>8</v>
      </c>
      <c r="AH265" s="8">
        <v>0.58094641051562279</v>
      </c>
      <c r="AI265" s="8">
        <v>1</v>
      </c>
      <c r="AJ265" s="8">
        <v>0.29560748719709307</v>
      </c>
      <c r="AK265" s="8">
        <f>AVERAGE(AH265:AJ265)</f>
        <v>0.62551796590423858</v>
      </c>
      <c r="AS265" s="10">
        <f>AF265/32</f>
        <v>0.25</v>
      </c>
      <c r="AT265" s="10">
        <f>AG265/28</f>
        <v>0.2857142857142857</v>
      </c>
    </row>
    <row r="266" spans="1:46" x14ac:dyDescent="0.3">
      <c r="A266" s="2" t="s">
        <v>363</v>
      </c>
      <c r="B266" s="2" t="s">
        <v>58</v>
      </c>
      <c r="C266" s="2" t="s">
        <v>276</v>
      </c>
      <c r="D266" s="2" t="s">
        <v>276</v>
      </c>
      <c r="E266" s="2" t="s">
        <v>276</v>
      </c>
      <c r="F266" s="2" t="s">
        <v>276</v>
      </c>
      <c r="G266" s="2" t="s">
        <v>654</v>
      </c>
      <c r="H266" s="2" t="s">
        <v>888</v>
      </c>
      <c r="I266" s="2" t="s">
        <v>62</v>
      </c>
      <c r="J266" s="2">
        <v>3</v>
      </c>
      <c r="AH266" s="8">
        <v>0.49915286913463514</v>
      </c>
      <c r="AI266" s="8">
        <v>0.99945208435586774</v>
      </c>
      <c r="AJ266" s="8">
        <v>0.3605185524245112</v>
      </c>
      <c r="AK266" s="8">
        <f>AVERAGE(AH266:AJ266)</f>
        <v>0.61970783530500462</v>
      </c>
    </row>
    <row r="267" spans="1:46" x14ac:dyDescent="0.3">
      <c r="A267" s="2">
        <v>3539301</v>
      </c>
      <c r="B267" s="2" t="s">
        <v>201</v>
      </c>
      <c r="C267" s="2" t="s">
        <v>206</v>
      </c>
      <c r="D267" s="2" t="s">
        <v>246</v>
      </c>
      <c r="E267" s="2" t="s">
        <v>719</v>
      </c>
      <c r="F267" s="2" t="s">
        <v>662</v>
      </c>
      <c r="G267" s="2" t="s">
        <v>655</v>
      </c>
      <c r="H267" s="2" t="s">
        <v>888</v>
      </c>
      <c r="I267" s="2" t="s">
        <v>215</v>
      </c>
      <c r="J267" s="2">
        <v>3</v>
      </c>
      <c r="AE267" s="2">
        <v>2016</v>
      </c>
      <c r="AF267" s="2">
        <v>4</v>
      </c>
      <c r="AG267" s="2">
        <v>4</v>
      </c>
      <c r="AH267" s="8">
        <v>0.57952291520111321</v>
      </c>
      <c r="AI267" s="8">
        <v>1</v>
      </c>
      <c r="AJ267" s="8">
        <v>0.2738813583212979</v>
      </c>
      <c r="AK267" s="8">
        <f>AVERAGE(AH267:AJ267)</f>
        <v>0.61780142450747044</v>
      </c>
      <c r="AS267" s="10">
        <f>AF267/32</f>
        <v>0.125</v>
      </c>
      <c r="AT267" s="10">
        <f>AG267/28</f>
        <v>0.14285714285714285</v>
      </c>
    </row>
    <row r="268" spans="1:46" x14ac:dyDescent="0.3">
      <c r="A268" s="2" t="s">
        <v>581</v>
      </c>
      <c r="B268" s="2" t="s">
        <v>201</v>
      </c>
      <c r="C268" s="2" t="s">
        <v>206</v>
      </c>
      <c r="D268" s="2" t="s">
        <v>206</v>
      </c>
      <c r="E268" s="2" t="s">
        <v>232</v>
      </c>
      <c r="F268" s="2" t="s">
        <v>232</v>
      </c>
      <c r="G268" s="2" t="s">
        <v>655</v>
      </c>
      <c r="H268" s="2" t="s">
        <v>888</v>
      </c>
      <c r="I268" s="2" t="s">
        <v>206</v>
      </c>
      <c r="J268" s="2">
        <v>3</v>
      </c>
      <c r="AE268" s="2">
        <v>2000</v>
      </c>
      <c r="AF268" s="2">
        <v>4</v>
      </c>
      <c r="AG268" s="2">
        <v>4</v>
      </c>
      <c r="AH268" s="8">
        <v>0.52947447522934532</v>
      </c>
      <c r="AI268" s="8">
        <v>1</v>
      </c>
      <c r="AJ268" s="8">
        <v>0.32032939617991046</v>
      </c>
      <c r="AK268" s="8">
        <f>AVERAGE(AH268:AJ268)</f>
        <v>0.61660129046975187</v>
      </c>
      <c r="AS268" s="10">
        <f>AF268/32</f>
        <v>0.125</v>
      </c>
      <c r="AT268" s="10">
        <f>AG268/28</f>
        <v>0.14285714285714285</v>
      </c>
    </row>
    <row r="269" spans="1:46" x14ac:dyDescent="0.3">
      <c r="A269" s="2" t="s">
        <v>392</v>
      </c>
      <c r="B269" s="2" t="s">
        <v>70</v>
      </c>
      <c r="C269" s="2" t="s">
        <v>98</v>
      </c>
      <c r="D269" s="2" t="s">
        <v>270</v>
      </c>
      <c r="E269" s="2" t="s">
        <v>270</v>
      </c>
      <c r="F269" s="2" t="s">
        <v>270</v>
      </c>
      <c r="G269" s="2" t="s">
        <v>654</v>
      </c>
      <c r="H269" s="2" t="s">
        <v>888</v>
      </c>
      <c r="I269" s="2" t="s">
        <v>74</v>
      </c>
      <c r="J269" s="2">
        <v>3</v>
      </c>
      <c r="AH269" s="8">
        <v>0.63560169465695637</v>
      </c>
      <c r="AI269" s="8">
        <v>0.89091951607998721</v>
      </c>
      <c r="AJ269" s="8">
        <v>0.30472205982760686</v>
      </c>
      <c r="AK269" s="8">
        <f>AVERAGE(AH269:AJ269)</f>
        <v>0.61041442352151687</v>
      </c>
    </row>
    <row r="270" spans="1:46" x14ac:dyDescent="0.3">
      <c r="A270" s="2" t="s">
        <v>396</v>
      </c>
      <c r="B270" s="2" t="s">
        <v>70</v>
      </c>
      <c r="C270" s="2" t="s">
        <v>73</v>
      </c>
      <c r="D270" s="2" t="s">
        <v>101</v>
      </c>
      <c r="E270" s="3" t="s">
        <v>269</v>
      </c>
      <c r="F270" s="3" t="s">
        <v>101</v>
      </c>
      <c r="G270" s="2" t="s">
        <v>655</v>
      </c>
      <c r="H270" s="2" t="s">
        <v>888</v>
      </c>
      <c r="I270" s="2" t="s">
        <v>74</v>
      </c>
      <c r="J270" s="2">
        <v>3</v>
      </c>
      <c r="AH270" s="8">
        <v>0.4657190802955643</v>
      </c>
      <c r="AI270" s="8">
        <v>0.99528021489193308</v>
      </c>
      <c r="AJ270" s="8">
        <v>0.3564197452816934</v>
      </c>
      <c r="AK270" s="8">
        <f>AVERAGE(AH270:AJ270)</f>
        <v>0.60580634682306356</v>
      </c>
    </row>
    <row r="271" spans="1:46" x14ac:dyDescent="0.3">
      <c r="A271" s="2" t="s">
        <v>470</v>
      </c>
      <c r="B271" s="2" t="s">
        <v>146</v>
      </c>
      <c r="C271" s="2" t="s">
        <v>628</v>
      </c>
      <c r="D271" s="2" t="s">
        <v>154</v>
      </c>
      <c r="E271" s="2" t="s">
        <v>154</v>
      </c>
      <c r="F271" s="2" t="s">
        <v>154</v>
      </c>
      <c r="G271" s="2" t="s">
        <v>654</v>
      </c>
      <c r="H271" s="2" t="s">
        <v>888</v>
      </c>
      <c r="I271" s="2" t="s">
        <v>628</v>
      </c>
      <c r="J271" s="2">
        <v>3</v>
      </c>
      <c r="N271" s="4" t="s">
        <v>662</v>
      </c>
      <c r="P271" s="4" t="s">
        <v>662</v>
      </c>
      <c r="T271" s="2" t="s">
        <v>662</v>
      </c>
      <c r="U271" s="2" t="s">
        <v>725</v>
      </c>
      <c r="V271" s="5" t="s">
        <v>662</v>
      </c>
      <c r="W271" s="5" t="s">
        <v>662</v>
      </c>
      <c r="Y271" s="5" t="s">
        <v>662</v>
      </c>
      <c r="Z271" s="5" t="s">
        <v>662</v>
      </c>
      <c r="AB271" s="5" t="s">
        <v>662</v>
      </c>
      <c r="AC271" s="5" t="s">
        <v>662</v>
      </c>
      <c r="AE271" s="2" t="s">
        <v>678</v>
      </c>
      <c r="AF271" s="2">
        <v>8</v>
      </c>
      <c r="AG271" s="2">
        <v>8</v>
      </c>
      <c r="AH271" s="8">
        <v>0.59203165655579515</v>
      </c>
      <c r="AI271" s="8">
        <v>1</v>
      </c>
      <c r="AJ271" s="8">
        <v>0.21516066856717528</v>
      </c>
      <c r="AK271" s="8">
        <f>AVERAGE(AH271:AJ271)</f>
        <v>0.60239744170765674</v>
      </c>
      <c r="AQ271" s="10">
        <v>0</v>
      </c>
      <c r="AR271" s="10">
        <v>0</v>
      </c>
      <c r="AS271" s="10">
        <f>AF271/32</f>
        <v>0.25</v>
      </c>
      <c r="AT271" s="10">
        <f>AG271/28</f>
        <v>0.2857142857142857</v>
      </c>
    </row>
    <row r="272" spans="1:46" x14ac:dyDescent="0.3">
      <c r="A272" s="2" t="s">
        <v>491</v>
      </c>
      <c r="B272" s="2" t="s">
        <v>167</v>
      </c>
      <c r="C272" s="2" t="s">
        <v>177</v>
      </c>
      <c r="D272" s="2" t="s">
        <v>172</v>
      </c>
      <c r="E272" s="2" t="s">
        <v>172</v>
      </c>
      <c r="F272" s="2" t="s">
        <v>662</v>
      </c>
      <c r="G272" s="2" t="s">
        <v>654</v>
      </c>
      <c r="H272" s="2" t="s">
        <v>888</v>
      </c>
      <c r="I272" s="2" t="s">
        <v>179</v>
      </c>
      <c r="J272" s="2">
        <v>3</v>
      </c>
      <c r="AE272" s="2" t="s">
        <v>695</v>
      </c>
      <c r="AF272" s="2">
        <v>16</v>
      </c>
      <c r="AG272" s="2">
        <v>16</v>
      </c>
      <c r="AH272" s="8">
        <v>0.45813384415247427</v>
      </c>
      <c r="AI272" s="8">
        <v>0.95200863719902662</v>
      </c>
      <c r="AJ272" s="8">
        <v>0.38925985992115097</v>
      </c>
      <c r="AK272" s="8">
        <f>AVERAGE(AH272:AJ272)</f>
        <v>0.59980078042421725</v>
      </c>
      <c r="AS272" s="10">
        <f>AF272/32</f>
        <v>0.5</v>
      </c>
      <c r="AT272" s="10">
        <f>AG272/28</f>
        <v>0.5714285714285714</v>
      </c>
    </row>
    <row r="273" spans="1:46" x14ac:dyDescent="0.3">
      <c r="A273" s="2" t="s">
        <v>548</v>
      </c>
      <c r="B273" s="2" t="s">
        <v>201</v>
      </c>
      <c r="C273" s="2" t="s">
        <v>241</v>
      </c>
      <c r="D273" s="2" t="s">
        <v>630</v>
      </c>
      <c r="E273" s="2" t="s">
        <v>211</v>
      </c>
      <c r="F273" s="2" t="s">
        <v>662</v>
      </c>
      <c r="G273" s="2" t="s">
        <v>655</v>
      </c>
      <c r="H273" s="2" t="s">
        <v>888</v>
      </c>
      <c r="I273" s="2" t="s">
        <v>241</v>
      </c>
      <c r="J273" s="2">
        <v>3</v>
      </c>
      <c r="AE273" s="2">
        <v>2004</v>
      </c>
      <c r="AF273" s="2">
        <v>4</v>
      </c>
      <c r="AG273" s="2">
        <v>4</v>
      </c>
      <c r="AH273" s="8">
        <v>0.43584146919748251</v>
      </c>
      <c r="AI273" s="8">
        <v>1</v>
      </c>
      <c r="AJ273" s="8">
        <v>0.35657104314273419</v>
      </c>
      <c r="AK273" s="8">
        <f>AVERAGE(AH273:AJ273)</f>
        <v>0.5974708374467389</v>
      </c>
      <c r="AS273" s="10">
        <f>AF273/32</f>
        <v>0.125</v>
      </c>
      <c r="AT273" s="10">
        <f>AG273/28</f>
        <v>0.14285714285714285</v>
      </c>
    </row>
    <row r="274" spans="1:46" x14ac:dyDescent="0.3">
      <c r="A274" s="2" t="s">
        <v>497</v>
      </c>
      <c r="B274" s="2" t="s">
        <v>167</v>
      </c>
      <c r="C274" s="2" t="s">
        <v>176</v>
      </c>
      <c r="D274" s="2" t="s">
        <v>176</v>
      </c>
      <c r="E274" s="2" t="s">
        <v>176</v>
      </c>
      <c r="F274" s="2" t="s">
        <v>662</v>
      </c>
      <c r="G274" s="2" t="s">
        <v>654</v>
      </c>
      <c r="H274" s="2" t="s">
        <v>888</v>
      </c>
      <c r="I274" s="2" t="s">
        <v>179</v>
      </c>
      <c r="J274" s="2">
        <v>3</v>
      </c>
      <c r="AE274" s="2">
        <v>2012</v>
      </c>
      <c r="AF274" s="2">
        <v>4</v>
      </c>
      <c r="AG274" s="2">
        <v>4</v>
      </c>
      <c r="AH274" s="8">
        <v>0.64685575844435661</v>
      </c>
      <c r="AI274" s="8">
        <v>0.87615135489191931</v>
      </c>
      <c r="AJ274" s="8">
        <v>0.26086369163004941</v>
      </c>
      <c r="AK274" s="8">
        <f>AVERAGE(AH274:AJ274)</f>
        <v>0.59462360165544181</v>
      </c>
      <c r="AS274" s="10">
        <f>AF274/32</f>
        <v>0.125</v>
      </c>
      <c r="AT274" s="10">
        <f>AG274/28</f>
        <v>0.14285714285714285</v>
      </c>
    </row>
    <row r="275" spans="1:46" x14ac:dyDescent="0.3">
      <c r="A275" s="2" t="s">
        <v>442</v>
      </c>
      <c r="B275" s="2" t="s">
        <v>131</v>
      </c>
      <c r="C275" s="2" t="s">
        <v>140</v>
      </c>
      <c r="D275" s="2" t="s">
        <v>134</v>
      </c>
      <c r="E275" s="2" t="s">
        <v>134</v>
      </c>
      <c r="F275" s="2" t="s">
        <v>662</v>
      </c>
      <c r="G275" s="2" t="s">
        <v>654</v>
      </c>
      <c r="H275" s="2" t="s">
        <v>888</v>
      </c>
      <c r="I275" s="2" t="s">
        <v>140</v>
      </c>
      <c r="J275" s="2">
        <v>3</v>
      </c>
      <c r="AE275" s="2" t="s">
        <v>685</v>
      </c>
      <c r="AF275" s="2">
        <v>8</v>
      </c>
      <c r="AG275" s="2">
        <v>8</v>
      </c>
      <c r="AH275" s="8">
        <v>0.52521551099774078</v>
      </c>
      <c r="AI275" s="8">
        <v>1</v>
      </c>
      <c r="AJ275" s="8">
        <v>0.25353186351292639</v>
      </c>
      <c r="AK275" s="8">
        <f>AVERAGE(AH275:AJ275)</f>
        <v>0.59291579150355578</v>
      </c>
      <c r="AS275" s="10">
        <f>AF275/32</f>
        <v>0.25</v>
      </c>
      <c r="AT275" s="10">
        <f>AG275/28</f>
        <v>0.2857142857142857</v>
      </c>
    </row>
    <row r="276" spans="1:46" x14ac:dyDescent="0.3">
      <c r="A276" s="2" t="s">
        <v>503</v>
      </c>
      <c r="B276" s="2" t="s">
        <v>167</v>
      </c>
      <c r="C276" s="2" t="s">
        <v>178</v>
      </c>
      <c r="D276" s="2" t="s">
        <v>178</v>
      </c>
      <c r="E276" s="2" t="s">
        <v>264</v>
      </c>
      <c r="F276" s="2" t="s">
        <v>662</v>
      </c>
      <c r="G276" s="2" t="s">
        <v>654</v>
      </c>
      <c r="H276" s="2" t="s">
        <v>888</v>
      </c>
      <c r="I276" s="2" t="s">
        <v>179</v>
      </c>
      <c r="J276" s="2">
        <v>3</v>
      </c>
      <c r="AE276" s="2">
        <v>2016</v>
      </c>
      <c r="AF276" s="2">
        <v>4</v>
      </c>
      <c r="AG276" s="2">
        <v>4</v>
      </c>
      <c r="AH276" s="8">
        <v>0.55443939988731239</v>
      </c>
      <c r="AI276" s="8">
        <v>0.98203525062204911</v>
      </c>
      <c r="AJ276" s="8">
        <v>0.227754855555939</v>
      </c>
      <c r="AK276" s="8">
        <f>AVERAGE(AH276:AJ276)</f>
        <v>0.58807650202176687</v>
      </c>
      <c r="AS276" s="10">
        <f>AF276/32</f>
        <v>0.125</v>
      </c>
      <c r="AT276" s="10">
        <f>AG276/28</f>
        <v>0.14285714285714285</v>
      </c>
    </row>
    <row r="277" spans="1:46" x14ac:dyDescent="0.3">
      <c r="A277" s="2" t="s">
        <v>545</v>
      </c>
      <c r="B277" s="2" t="s">
        <v>201</v>
      </c>
      <c r="C277" s="2" t="s">
        <v>289</v>
      </c>
      <c r="D277" s="2" t="s">
        <v>209</v>
      </c>
      <c r="E277" s="2" t="s">
        <v>209</v>
      </c>
      <c r="F277" s="2" t="s">
        <v>662</v>
      </c>
      <c r="G277" s="2" t="s">
        <v>655</v>
      </c>
      <c r="H277" s="2" t="s">
        <v>888</v>
      </c>
      <c r="I277" s="2" t="s">
        <v>249</v>
      </c>
      <c r="J277" s="2">
        <v>3</v>
      </c>
      <c r="AE277" s="2">
        <v>2004</v>
      </c>
      <c r="AF277" s="2">
        <v>4</v>
      </c>
      <c r="AG277" s="2">
        <v>4</v>
      </c>
      <c r="AH277" s="8">
        <v>0.47250528040945616</v>
      </c>
      <c r="AI277" s="8">
        <v>0.99043267291561343</v>
      </c>
      <c r="AJ277" s="8">
        <v>0.26714661769840331</v>
      </c>
      <c r="AK277" s="8">
        <f>AVERAGE(AH277:AJ277)</f>
        <v>0.57669485700782441</v>
      </c>
      <c r="AS277" s="10">
        <f>AF277/32</f>
        <v>0.125</v>
      </c>
      <c r="AT277" s="10">
        <f>AG277/28</f>
        <v>0.14285714285714285</v>
      </c>
    </row>
    <row r="278" spans="1:46" x14ac:dyDescent="0.3">
      <c r="A278" s="2" t="s">
        <v>341</v>
      </c>
      <c r="B278" s="2" t="s">
        <v>41</v>
      </c>
      <c r="C278" s="2" t="s">
        <v>45</v>
      </c>
      <c r="D278" s="2" t="s">
        <v>45</v>
      </c>
      <c r="E278" s="3" t="s">
        <v>45</v>
      </c>
      <c r="F278" s="3" t="s">
        <v>662</v>
      </c>
      <c r="G278" s="2" t="s">
        <v>654</v>
      </c>
      <c r="H278" s="2" t="s">
        <v>888</v>
      </c>
      <c r="I278" s="2" t="s">
        <v>46</v>
      </c>
      <c r="J278" s="2">
        <v>3</v>
      </c>
      <c r="AE278" s="2" t="s">
        <v>682</v>
      </c>
      <c r="AF278" s="2">
        <v>8</v>
      </c>
      <c r="AG278" s="2">
        <v>8</v>
      </c>
      <c r="AH278" s="8">
        <v>0.46609609420425457</v>
      </c>
      <c r="AI278" s="8">
        <v>0.62112727432836123</v>
      </c>
      <c r="AJ278" s="8">
        <v>0.61916324038479098</v>
      </c>
      <c r="AK278" s="8">
        <f>AVERAGE(AH278:AJ278)</f>
        <v>0.56879553630580226</v>
      </c>
      <c r="AS278" s="10">
        <f>AF278/32</f>
        <v>0.25</v>
      </c>
      <c r="AT278" s="10">
        <f>AG278/28</f>
        <v>0.2857142857142857</v>
      </c>
    </row>
    <row r="279" spans="1:46" x14ac:dyDescent="0.3">
      <c r="A279" s="2" t="s">
        <v>487</v>
      </c>
      <c r="B279" s="2" t="s">
        <v>167</v>
      </c>
      <c r="C279" s="2" t="s">
        <v>100</v>
      </c>
      <c r="D279" s="2" t="s">
        <v>100</v>
      </c>
      <c r="E279" s="2" t="s">
        <v>290</v>
      </c>
      <c r="F279" s="2" t="s">
        <v>663</v>
      </c>
      <c r="G279" s="2" t="s">
        <v>655</v>
      </c>
      <c r="H279" s="2" t="s">
        <v>888</v>
      </c>
      <c r="I279" s="2" t="s">
        <v>179</v>
      </c>
      <c r="J279" s="2">
        <v>3</v>
      </c>
      <c r="AH279" s="8">
        <v>0.58591334946894225</v>
      </c>
      <c r="AI279" s="8">
        <v>0.55114353758355117</v>
      </c>
      <c r="AJ279" s="8">
        <v>0.56827969911692089</v>
      </c>
      <c r="AK279" s="8">
        <f>AVERAGE(AH279:AJ279)</f>
        <v>0.56844552872313814</v>
      </c>
    </row>
    <row r="280" spans="1:46" x14ac:dyDescent="0.3">
      <c r="A280" s="2" t="s">
        <v>593</v>
      </c>
      <c r="B280" s="2" t="s">
        <v>201</v>
      </c>
      <c r="C280" s="2" t="s">
        <v>215</v>
      </c>
      <c r="D280" s="2" t="s">
        <v>242</v>
      </c>
      <c r="E280" s="2" t="s">
        <v>242</v>
      </c>
      <c r="F280" s="2" t="s">
        <v>242</v>
      </c>
      <c r="G280" s="2" t="s">
        <v>654</v>
      </c>
      <c r="H280" s="2" t="s">
        <v>888</v>
      </c>
      <c r="I280" s="2" t="s">
        <v>249</v>
      </c>
      <c r="J280" s="2">
        <v>3</v>
      </c>
      <c r="AE280" s="2" t="s">
        <v>684</v>
      </c>
      <c r="AF280" s="2">
        <v>16</v>
      </c>
      <c r="AG280" s="2">
        <v>16</v>
      </c>
      <c r="AH280" s="8">
        <v>0.41928475863851566</v>
      </c>
      <c r="AI280" s="8">
        <v>1</v>
      </c>
      <c r="AJ280" s="8">
        <v>0.27491327205408511</v>
      </c>
      <c r="AK280" s="8">
        <f>AVERAGE(AH280:AJ280)</f>
        <v>0.5647326768975337</v>
      </c>
      <c r="AS280" s="10">
        <f>AF280/32</f>
        <v>0.5</v>
      </c>
      <c r="AT280" s="10">
        <f>AG280/28</f>
        <v>0.5714285714285714</v>
      </c>
    </row>
    <row r="281" spans="1:46" x14ac:dyDescent="0.3">
      <c r="A281" s="2" t="s">
        <v>384</v>
      </c>
      <c r="B281" s="2" t="s">
        <v>70</v>
      </c>
      <c r="C281" s="2" t="s">
        <v>77</v>
      </c>
      <c r="D281" s="2" t="s">
        <v>79</v>
      </c>
      <c r="E281" s="3" t="s">
        <v>79</v>
      </c>
      <c r="F281" s="3" t="s">
        <v>662</v>
      </c>
      <c r="G281" s="2" t="s">
        <v>655</v>
      </c>
      <c r="H281" s="2" t="s">
        <v>888</v>
      </c>
      <c r="I281" s="2" t="s">
        <v>74</v>
      </c>
      <c r="J281" s="2">
        <v>3</v>
      </c>
      <c r="AE281" s="2">
        <v>2008</v>
      </c>
      <c r="AF281" s="2">
        <v>4</v>
      </c>
      <c r="AG281" s="2">
        <v>4</v>
      </c>
      <c r="AH281" s="8">
        <v>0.49363211940028073</v>
      </c>
      <c r="AI281" s="8">
        <v>0.8123835338604084</v>
      </c>
      <c r="AJ281" s="8">
        <v>0.38759500802517755</v>
      </c>
      <c r="AK281" s="8">
        <f>AVERAGE(AH281:AJ281)</f>
        <v>0.56453688709528882</v>
      </c>
      <c r="AS281" s="10">
        <f>AF281/32</f>
        <v>0.125</v>
      </c>
      <c r="AT281" s="10">
        <f>AG281/28</f>
        <v>0.14285714285714285</v>
      </c>
    </row>
    <row r="282" spans="1:46" x14ac:dyDescent="0.3">
      <c r="A282" s="2" t="s">
        <v>600</v>
      </c>
      <c r="B282" s="2" t="s">
        <v>201</v>
      </c>
      <c r="C282" s="2" t="s">
        <v>215</v>
      </c>
      <c r="D282" s="2" t="s">
        <v>636</v>
      </c>
      <c r="E282" s="2" t="s">
        <v>285</v>
      </c>
      <c r="F282" s="2" t="s">
        <v>662</v>
      </c>
      <c r="G282" s="2" t="s">
        <v>655</v>
      </c>
      <c r="H282" s="2" t="s">
        <v>888</v>
      </c>
      <c r="I282" s="2" t="s">
        <v>215</v>
      </c>
      <c r="J282" s="2">
        <v>3</v>
      </c>
      <c r="AH282" s="8">
        <v>0.59549790235554867</v>
      </c>
      <c r="AI282" s="8">
        <v>0.96181941939474513</v>
      </c>
      <c r="AJ282" s="8">
        <v>0.13562853662925684</v>
      </c>
      <c r="AK282" s="8">
        <f>AVERAGE(AH282:AJ282)</f>
        <v>0.56431528612651694</v>
      </c>
    </row>
    <row r="283" spans="1:46" x14ac:dyDescent="0.3">
      <c r="A283" s="2" t="s">
        <v>482</v>
      </c>
      <c r="B283" s="2" t="s">
        <v>167</v>
      </c>
      <c r="C283" s="2" t="s">
        <v>637</v>
      </c>
      <c r="D283" s="2" t="s">
        <v>637</v>
      </c>
      <c r="E283" s="2" t="s">
        <v>262</v>
      </c>
      <c r="F283" s="2" t="s">
        <v>662</v>
      </c>
      <c r="G283" s="2" t="s">
        <v>655</v>
      </c>
      <c r="H283" s="2" t="s">
        <v>888</v>
      </c>
      <c r="I283" s="2" t="s">
        <v>179</v>
      </c>
      <c r="J283" s="2">
        <v>3</v>
      </c>
      <c r="AE283" s="2">
        <v>2016</v>
      </c>
      <c r="AF283" s="2">
        <v>4</v>
      </c>
      <c r="AG283" s="2">
        <v>4</v>
      </c>
      <c r="AH283" s="8">
        <v>0.46301948384847813</v>
      </c>
      <c r="AI283" s="8">
        <v>0.90504531136668831</v>
      </c>
      <c r="AJ283" s="8">
        <v>0.3196787878393515</v>
      </c>
      <c r="AK283" s="8">
        <f>AVERAGE(AH283:AJ283)</f>
        <v>0.562581194351506</v>
      </c>
      <c r="AS283" s="10">
        <f>AF283/32</f>
        <v>0.125</v>
      </c>
      <c r="AT283" s="10">
        <f>AG283/28</f>
        <v>0.14285714285714285</v>
      </c>
    </row>
    <row r="284" spans="1:46" x14ac:dyDescent="0.3">
      <c r="A284" s="2" t="s">
        <v>400</v>
      </c>
      <c r="B284" s="2" t="s">
        <v>70</v>
      </c>
      <c r="C284" s="2" t="s">
        <v>92</v>
      </c>
      <c r="D284" s="2" t="s">
        <v>93</v>
      </c>
      <c r="E284" s="3" t="s">
        <v>93</v>
      </c>
      <c r="F284" s="3" t="s">
        <v>662</v>
      </c>
      <c r="G284" s="2" t="s">
        <v>655</v>
      </c>
      <c r="H284" s="2" t="s">
        <v>888</v>
      </c>
      <c r="I284" s="2" t="s">
        <v>102</v>
      </c>
      <c r="J284" s="2">
        <v>3</v>
      </c>
      <c r="AE284" s="2" t="s">
        <v>705</v>
      </c>
      <c r="AF284" s="2">
        <v>12</v>
      </c>
      <c r="AG284" s="2">
        <v>12</v>
      </c>
      <c r="AH284" s="8">
        <v>0.59804177666255731</v>
      </c>
      <c r="AI284" s="8">
        <v>0.78808164887815935</v>
      </c>
      <c r="AJ284" s="8">
        <v>0.29218412223813628</v>
      </c>
      <c r="AK284" s="8">
        <f>AVERAGE(AH284:AJ284)</f>
        <v>0.55943584925961765</v>
      </c>
      <c r="AS284" s="10">
        <f>AF284/32</f>
        <v>0.375</v>
      </c>
      <c r="AT284" s="10">
        <f>AG284/28</f>
        <v>0.42857142857142855</v>
      </c>
    </row>
    <row r="285" spans="1:46" x14ac:dyDescent="0.3">
      <c r="A285" s="2" t="s">
        <v>435</v>
      </c>
      <c r="B285" s="2" t="s">
        <v>117</v>
      </c>
      <c r="C285" s="2" t="s">
        <v>617</v>
      </c>
      <c r="D285" s="2" t="s">
        <v>125</v>
      </c>
      <c r="E285" s="2" t="s">
        <v>125</v>
      </c>
      <c r="F285" s="2" t="s">
        <v>662</v>
      </c>
      <c r="G285" s="2" t="s">
        <v>655</v>
      </c>
      <c r="H285" s="2" t="s">
        <v>888</v>
      </c>
      <c r="I285" s="2" t="s">
        <v>729</v>
      </c>
      <c r="J285" s="2">
        <v>3</v>
      </c>
      <c r="AE285" s="2" t="s">
        <v>708</v>
      </c>
      <c r="AF285" s="2">
        <v>12</v>
      </c>
      <c r="AG285" s="2">
        <v>4</v>
      </c>
      <c r="AH285" s="8">
        <v>0.47669997114252616</v>
      </c>
      <c r="AI285" s="8">
        <v>0.8047207849184923</v>
      </c>
      <c r="AJ285" s="8">
        <v>0.39625107383378888</v>
      </c>
      <c r="AK285" s="8">
        <f>AVERAGE(AH285:AJ285)</f>
        <v>0.55922394329826908</v>
      </c>
      <c r="AS285" s="10">
        <f>AF285/32</f>
        <v>0.375</v>
      </c>
      <c r="AT285" s="10">
        <f>AG285/28</f>
        <v>0.14285714285714285</v>
      </c>
    </row>
    <row r="286" spans="1:46" x14ac:dyDescent="0.3">
      <c r="A286" s="2" t="s">
        <v>393</v>
      </c>
      <c r="B286" s="2" t="s">
        <v>70</v>
      </c>
      <c r="C286" s="2" t="s">
        <v>87</v>
      </c>
      <c r="D286" s="2" t="s">
        <v>88</v>
      </c>
      <c r="E286" s="3" t="s">
        <v>88</v>
      </c>
      <c r="F286" s="3" t="s">
        <v>662</v>
      </c>
      <c r="G286" s="2" t="s">
        <v>654</v>
      </c>
      <c r="H286" s="2" t="s">
        <v>888</v>
      </c>
      <c r="I286" s="2" t="s">
        <v>74</v>
      </c>
      <c r="J286" s="2">
        <v>3</v>
      </c>
      <c r="AE286" s="2" t="s">
        <v>686</v>
      </c>
      <c r="AF286" s="2">
        <v>12</v>
      </c>
      <c r="AG286" s="2">
        <v>12</v>
      </c>
      <c r="AH286" s="8">
        <v>0.55321300858857536</v>
      </c>
      <c r="AI286" s="8">
        <v>0.69971229975006255</v>
      </c>
      <c r="AJ286" s="8">
        <v>0.41043135735609115</v>
      </c>
      <c r="AK286" s="8">
        <f>AVERAGE(AH286:AJ286)</f>
        <v>0.55445222189824306</v>
      </c>
      <c r="AS286" s="10">
        <f>AF286/32</f>
        <v>0.375</v>
      </c>
      <c r="AT286" s="10">
        <f>AG286/28</f>
        <v>0.42857142857142855</v>
      </c>
    </row>
    <row r="287" spans="1:46" x14ac:dyDescent="0.3">
      <c r="A287" s="2" t="s">
        <v>375</v>
      </c>
      <c r="B287" s="2" t="s">
        <v>70</v>
      </c>
      <c r="C287" s="2" t="s">
        <v>73</v>
      </c>
      <c r="D287" s="2" t="s">
        <v>73</v>
      </c>
      <c r="E287" s="3" t="s">
        <v>73</v>
      </c>
      <c r="F287" s="3" t="s">
        <v>73</v>
      </c>
      <c r="G287" s="2" t="s">
        <v>654</v>
      </c>
      <c r="H287" s="2" t="s">
        <v>888</v>
      </c>
      <c r="I287" s="2" t="s">
        <v>74</v>
      </c>
      <c r="J287" s="2">
        <v>3</v>
      </c>
      <c r="AE287" s="2" t="s">
        <v>681</v>
      </c>
      <c r="AF287" s="2">
        <v>8</v>
      </c>
      <c r="AG287" s="2">
        <v>4</v>
      </c>
      <c r="AH287" s="8">
        <v>0.56726441803722183</v>
      </c>
      <c r="AI287" s="8">
        <v>0.85719238499792716</v>
      </c>
      <c r="AJ287" s="8">
        <v>0.20364016767241605</v>
      </c>
      <c r="AK287" s="8">
        <f>AVERAGE(AH287:AJ287)</f>
        <v>0.54269899023585499</v>
      </c>
      <c r="AS287" s="10">
        <f>AF287/32</f>
        <v>0.25</v>
      </c>
      <c r="AT287" s="10">
        <f>AG287/28</f>
        <v>0.14285714285714285</v>
      </c>
    </row>
    <row r="288" spans="1:46" x14ac:dyDescent="0.3">
      <c r="A288" s="2" t="s">
        <v>490</v>
      </c>
      <c r="B288" s="2" t="s">
        <v>167</v>
      </c>
      <c r="C288" s="2" t="s">
        <v>179</v>
      </c>
      <c r="D288" s="2" t="s">
        <v>638</v>
      </c>
      <c r="E288" s="2" t="s">
        <v>292</v>
      </c>
      <c r="F288" s="2" t="s">
        <v>638</v>
      </c>
      <c r="G288" s="2" t="s">
        <v>655</v>
      </c>
      <c r="H288" s="2" t="s">
        <v>888</v>
      </c>
      <c r="I288" s="2" t="s">
        <v>179</v>
      </c>
      <c r="J288" s="2">
        <v>3</v>
      </c>
      <c r="AH288" s="8">
        <v>0.54094013016325115</v>
      </c>
      <c r="AI288" s="8">
        <v>0.78357363245636358</v>
      </c>
      <c r="AJ288" s="8">
        <v>0.28851985650466422</v>
      </c>
      <c r="AK288" s="8">
        <f>AVERAGE(AH288:AJ288)</f>
        <v>0.53767787304142634</v>
      </c>
    </row>
    <row r="289" spans="1:46" x14ac:dyDescent="0.3">
      <c r="A289" s="2" t="s">
        <v>325</v>
      </c>
      <c r="B289" s="2" t="s">
        <v>27</v>
      </c>
      <c r="C289" s="2" t="s">
        <v>32</v>
      </c>
      <c r="D289" s="2" t="s">
        <v>32</v>
      </c>
      <c r="E289" s="3" t="s">
        <v>32</v>
      </c>
      <c r="F289" s="3" t="s">
        <v>662</v>
      </c>
      <c r="G289" s="2" t="s">
        <v>654</v>
      </c>
      <c r="H289" s="2" t="s">
        <v>888</v>
      </c>
      <c r="I289" s="2" t="s">
        <v>36</v>
      </c>
      <c r="J289" s="2">
        <v>3</v>
      </c>
      <c r="AE289" s="2">
        <v>2012</v>
      </c>
      <c r="AF289" s="2">
        <v>4</v>
      </c>
      <c r="AG289" s="2">
        <v>4</v>
      </c>
      <c r="AH289" s="8">
        <v>0.5329522037882356</v>
      </c>
      <c r="AI289" s="8">
        <v>0.43148342809254991</v>
      </c>
      <c r="AJ289" s="8">
        <v>0.62423305178725652</v>
      </c>
      <c r="AK289" s="8">
        <f>AVERAGE(AH289:AJ289)</f>
        <v>0.52955622788934731</v>
      </c>
      <c r="AS289" s="10">
        <f>AF289/32</f>
        <v>0.125</v>
      </c>
      <c r="AT289" s="10">
        <f>AG289/28</f>
        <v>0.14285714285714285</v>
      </c>
    </row>
    <row r="290" spans="1:46" x14ac:dyDescent="0.3">
      <c r="A290" s="2" t="s">
        <v>352</v>
      </c>
      <c r="B290" s="2" t="s">
        <v>52</v>
      </c>
      <c r="C290" s="2" t="s">
        <v>56</v>
      </c>
      <c r="D290" s="2" t="s">
        <v>56</v>
      </c>
      <c r="E290" s="3" t="s">
        <v>56</v>
      </c>
      <c r="F290" s="3" t="s">
        <v>662</v>
      </c>
      <c r="G290" s="2" t="s">
        <v>654</v>
      </c>
      <c r="H290" s="2" t="s">
        <v>888</v>
      </c>
      <c r="I290" s="2" t="s">
        <v>57</v>
      </c>
      <c r="J290" s="2">
        <v>3</v>
      </c>
      <c r="N290" s="4" t="s">
        <v>662</v>
      </c>
      <c r="P290" s="4" t="s">
        <v>662</v>
      </c>
      <c r="T290" s="4" t="s">
        <v>662</v>
      </c>
      <c r="U290" s="4" t="s">
        <v>662</v>
      </c>
      <c r="V290" s="4" t="s">
        <v>662</v>
      </c>
      <c r="W290" s="4" t="s">
        <v>662</v>
      </c>
      <c r="X290" s="4"/>
      <c r="Y290" s="4" t="s">
        <v>662</v>
      </c>
      <c r="Z290" s="4" t="s">
        <v>662</v>
      </c>
      <c r="AB290" s="4" t="s">
        <v>662</v>
      </c>
      <c r="AC290" s="4" t="s">
        <v>662</v>
      </c>
      <c r="AE290" s="2">
        <v>2008</v>
      </c>
      <c r="AF290" s="2">
        <v>4</v>
      </c>
      <c r="AG290" s="2">
        <v>4</v>
      </c>
      <c r="AH290" s="8">
        <v>0.45419266459616198</v>
      </c>
      <c r="AI290" s="8">
        <v>0.59424427088565557</v>
      </c>
      <c r="AJ290" s="8">
        <v>0.53170510170586338</v>
      </c>
      <c r="AK290" s="8">
        <f>AVERAGE(AH290:AJ290)</f>
        <v>0.52671401239589366</v>
      </c>
      <c r="AS290" s="10">
        <f>AF290/32</f>
        <v>0.125</v>
      </c>
      <c r="AT290" s="10">
        <f>AG290/28</f>
        <v>0.14285714285714285</v>
      </c>
    </row>
    <row r="291" spans="1:46" x14ac:dyDescent="0.3">
      <c r="A291" s="2" t="s">
        <v>475</v>
      </c>
      <c r="B291" s="2" t="s">
        <v>146</v>
      </c>
      <c r="C291" s="2" t="s">
        <v>153</v>
      </c>
      <c r="D291" s="2" t="s">
        <v>153</v>
      </c>
      <c r="E291" s="2" t="s">
        <v>157</v>
      </c>
      <c r="F291" s="2" t="s">
        <v>662</v>
      </c>
      <c r="G291" s="2" t="s">
        <v>655</v>
      </c>
      <c r="H291" s="2" t="s">
        <v>888</v>
      </c>
      <c r="I291" s="2" t="s">
        <v>155</v>
      </c>
      <c r="J291" s="2">
        <v>3</v>
      </c>
      <c r="AE291" s="2">
        <v>2012</v>
      </c>
      <c r="AF291" s="2">
        <v>4</v>
      </c>
      <c r="AG291" s="2">
        <v>4</v>
      </c>
      <c r="AH291" s="8">
        <v>0.50428275179994408</v>
      </c>
      <c r="AI291" s="8">
        <v>1</v>
      </c>
      <c r="AJ291" s="8">
        <v>6.5261056935465356E-2</v>
      </c>
      <c r="AK291" s="8">
        <f>AVERAGE(AH291:AJ291)</f>
        <v>0.52318126957846978</v>
      </c>
      <c r="AS291" s="10">
        <f>AF291/32</f>
        <v>0.125</v>
      </c>
      <c r="AT291" s="10">
        <f>AG291/28</f>
        <v>0.14285714285714285</v>
      </c>
    </row>
    <row r="292" spans="1:46" x14ac:dyDescent="0.3">
      <c r="A292" s="2" t="s">
        <v>514</v>
      </c>
      <c r="B292" s="2" t="s">
        <v>167</v>
      </c>
      <c r="C292" s="2" t="s">
        <v>100</v>
      </c>
      <c r="D292" s="2" t="s">
        <v>183</v>
      </c>
      <c r="E292" s="2" t="s">
        <v>183</v>
      </c>
      <c r="F292" s="2" t="s">
        <v>662</v>
      </c>
      <c r="G292" s="2" t="s">
        <v>655</v>
      </c>
      <c r="H292" s="2" t="s">
        <v>888</v>
      </c>
      <c r="I292" s="2" t="s">
        <v>100</v>
      </c>
      <c r="J292" s="2">
        <v>3</v>
      </c>
      <c r="AE292" s="2" t="s">
        <v>693</v>
      </c>
      <c r="AF292" s="2">
        <v>8</v>
      </c>
      <c r="AG292" s="2">
        <v>8</v>
      </c>
      <c r="AH292" s="8">
        <v>0.53055336885316251</v>
      </c>
      <c r="AI292" s="8">
        <v>0.68823055564861946</v>
      </c>
      <c r="AJ292" s="8">
        <v>0.297661231931031</v>
      </c>
      <c r="AK292" s="8">
        <f>AVERAGE(AH292:AJ292)</f>
        <v>0.50548171881093762</v>
      </c>
      <c r="AS292" s="10">
        <f>AF292/32</f>
        <v>0.25</v>
      </c>
      <c r="AT292" s="10">
        <f>AG292/28</f>
        <v>0.2857142857142857</v>
      </c>
    </row>
    <row r="293" spans="1:46" x14ac:dyDescent="0.3">
      <c r="A293" s="2" t="s">
        <v>378</v>
      </c>
      <c r="B293" s="2" t="s">
        <v>70</v>
      </c>
      <c r="C293" s="2" t="s">
        <v>82</v>
      </c>
      <c r="D293" s="2" t="s">
        <v>75</v>
      </c>
      <c r="E293" s="3" t="s">
        <v>75</v>
      </c>
      <c r="F293" s="3" t="s">
        <v>662</v>
      </c>
      <c r="G293" s="2" t="s">
        <v>655</v>
      </c>
      <c r="H293" s="2" t="s">
        <v>888</v>
      </c>
      <c r="I293" s="2" t="s">
        <v>82</v>
      </c>
      <c r="J293" s="2">
        <v>3</v>
      </c>
      <c r="AE293" s="2" t="s">
        <v>677</v>
      </c>
      <c r="AF293" s="2">
        <v>12</v>
      </c>
      <c r="AG293" s="2">
        <v>12</v>
      </c>
      <c r="AH293" s="8">
        <v>0.40657047681245079</v>
      </c>
      <c r="AI293" s="8">
        <v>0.68967890257169417</v>
      </c>
      <c r="AJ293" s="8">
        <v>0.35500885477805261</v>
      </c>
      <c r="AK293" s="8">
        <f>AVERAGE(AH293:AJ293)</f>
        <v>0.48375274472073254</v>
      </c>
      <c r="AS293" s="10">
        <f>AF293/32</f>
        <v>0.375</v>
      </c>
      <c r="AT293" s="10">
        <f>AG293/28</f>
        <v>0.42857142857142855</v>
      </c>
    </row>
    <row r="294" spans="1:46" x14ac:dyDescent="0.3">
      <c r="A294" s="2" t="s">
        <v>424</v>
      </c>
      <c r="B294" s="2" t="s">
        <v>113</v>
      </c>
      <c r="C294" s="2" t="s">
        <v>115</v>
      </c>
      <c r="D294" s="2" t="s">
        <v>259</v>
      </c>
      <c r="E294" s="2" t="s">
        <v>259</v>
      </c>
      <c r="F294" s="2" t="s">
        <v>259</v>
      </c>
      <c r="G294" s="2" t="s">
        <v>655</v>
      </c>
      <c r="H294" s="2" t="s">
        <v>888</v>
      </c>
      <c r="I294" s="2" t="s">
        <v>115</v>
      </c>
      <c r="J294" s="2">
        <v>3</v>
      </c>
      <c r="AE294" s="2">
        <v>2016</v>
      </c>
      <c r="AF294" s="2">
        <v>4</v>
      </c>
      <c r="AG294" s="2">
        <v>4</v>
      </c>
      <c r="AH294" s="8">
        <v>0.55859047412628571</v>
      </c>
      <c r="AI294" s="8">
        <v>0.45621783514489067</v>
      </c>
      <c r="AJ294" s="8">
        <v>0.39747219535714684</v>
      </c>
      <c r="AK294" s="8">
        <f>AVERAGE(AH294:AJ294)</f>
        <v>0.47076016820944105</v>
      </c>
      <c r="AS294" s="10">
        <f>AF294/32</f>
        <v>0.125</v>
      </c>
      <c r="AT294" s="10">
        <f>AG294/28</f>
        <v>0.14285714285714285</v>
      </c>
    </row>
    <row r="295" spans="1:46" x14ac:dyDescent="0.3">
      <c r="A295" s="2" t="s">
        <v>372</v>
      </c>
      <c r="B295" s="2" t="s">
        <v>70</v>
      </c>
      <c r="C295" s="2" t="s">
        <v>87</v>
      </c>
      <c r="D295" s="2" t="s">
        <v>268</v>
      </c>
      <c r="E295" s="3" t="s">
        <v>268</v>
      </c>
      <c r="F295" s="3" t="s">
        <v>660</v>
      </c>
      <c r="G295" s="2" t="s">
        <v>654</v>
      </c>
      <c r="H295" s="2" t="s">
        <v>888</v>
      </c>
      <c r="I295" s="2" t="s">
        <v>87</v>
      </c>
      <c r="J295" s="2">
        <v>3</v>
      </c>
      <c r="AH295" s="8">
        <v>0.54302482540969021</v>
      </c>
      <c r="AI295" s="8">
        <v>0.33162101646274578</v>
      </c>
      <c r="AJ295" s="8">
        <v>0.52194992023912801</v>
      </c>
      <c r="AK295" s="8">
        <f>AVERAGE(AH295:AJ295)</f>
        <v>0.46553192070385468</v>
      </c>
    </row>
    <row r="296" spans="1:46" x14ac:dyDescent="0.3">
      <c r="A296" s="2" t="s">
        <v>512</v>
      </c>
      <c r="B296" s="2" t="s">
        <v>167</v>
      </c>
      <c r="C296" s="2" t="s">
        <v>177</v>
      </c>
      <c r="D296" s="2" t="s">
        <v>305</v>
      </c>
      <c r="E296" s="2" t="s">
        <v>305</v>
      </c>
      <c r="F296" s="2" t="s">
        <v>662</v>
      </c>
      <c r="G296" s="2" t="s">
        <v>655</v>
      </c>
      <c r="H296" s="2" t="s">
        <v>888</v>
      </c>
      <c r="I296" s="2" t="s">
        <v>177</v>
      </c>
      <c r="J296" s="2">
        <v>3</v>
      </c>
      <c r="AH296" s="8">
        <v>0.50541152461961703</v>
      </c>
      <c r="AI296" s="8">
        <v>0.59260412478135793</v>
      </c>
      <c r="AJ296" s="8">
        <v>0.28966023631086024</v>
      </c>
      <c r="AK296" s="8">
        <f>AVERAGE(AH296:AJ296)</f>
        <v>0.46255862857061175</v>
      </c>
    </row>
    <row r="297" spans="1:46" x14ac:dyDescent="0.3">
      <c r="A297" s="2" t="s">
        <v>335</v>
      </c>
      <c r="B297" s="2" t="s">
        <v>27</v>
      </c>
      <c r="C297" s="2" t="s">
        <v>620</v>
      </c>
      <c r="D297" s="2" t="s">
        <v>39</v>
      </c>
      <c r="E297" s="3" t="s">
        <v>39</v>
      </c>
      <c r="F297" s="3" t="s">
        <v>662</v>
      </c>
      <c r="G297" s="2" t="s">
        <v>654</v>
      </c>
      <c r="H297" s="2" t="s">
        <v>888</v>
      </c>
      <c r="I297" s="2" t="s">
        <v>36</v>
      </c>
      <c r="J297" s="2">
        <v>3</v>
      </c>
      <c r="AE297" s="2">
        <v>2004</v>
      </c>
      <c r="AH297" s="8">
        <v>0.40830297899961854</v>
      </c>
      <c r="AI297" s="8">
        <v>0.41925852381875633</v>
      </c>
      <c r="AJ297" s="8">
        <v>0.5003382907408388</v>
      </c>
      <c r="AK297" s="8">
        <f>AVERAGE(AH297:AJ297)</f>
        <v>0.44263326451973795</v>
      </c>
    </row>
    <row r="298" spans="1:46" x14ac:dyDescent="0.3">
      <c r="A298" s="2" t="s">
        <v>508</v>
      </c>
      <c r="B298" s="2" t="s">
        <v>167</v>
      </c>
      <c r="C298" s="2" t="s">
        <v>180</v>
      </c>
      <c r="D298" s="2" t="s">
        <v>642</v>
      </c>
      <c r="E298" s="2" t="s">
        <v>182</v>
      </c>
      <c r="F298" s="2" t="s">
        <v>182</v>
      </c>
      <c r="G298" s="2" t="s">
        <v>655</v>
      </c>
      <c r="H298" s="2" t="s">
        <v>888</v>
      </c>
      <c r="I298" s="2" t="s">
        <v>180</v>
      </c>
      <c r="J298" s="2">
        <v>3</v>
      </c>
      <c r="N298" s="4" t="s">
        <v>662</v>
      </c>
      <c r="P298" s="4" t="s">
        <v>662</v>
      </c>
      <c r="T298" s="4" t="s">
        <v>662</v>
      </c>
      <c r="U298" s="4" t="s">
        <v>662</v>
      </c>
      <c r="V298" s="4" t="s">
        <v>662</v>
      </c>
      <c r="W298" s="4" t="s">
        <v>662</v>
      </c>
      <c r="X298" s="4"/>
      <c r="Y298" s="4" t="s">
        <v>662</v>
      </c>
      <c r="Z298" s="4" t="s">
        <v>662</v>
      </c>
      <c r="AB298" s="4" t="s">
        <v>662</v>
      </c>
      <c r="AC298" s="4" t="s">
        <v>662</v>
      </c>
      <c r="AE298" s="2" t="s">
        <v>701</v>
      </c>
      <c r="AF298" s="2">
        <v>12</v>
      </c>
      <c r="AG298" s="2">
        <v>8</v>
      </c>
      <c r="AH298" s="8">
        <v>0.48765491397083666</v>
      </c>
      <c r="AI298" s="8">
        <v>0.53356882672732497</v>
      </c>
      <c r="AJ298" s="8">
        <v>0.22115435889837776</v>
      </c>
      <c r="AK298" s="8">
        <f>AVERAGE(AH298:AJ298)</f>
        <v>0.4141260331988465</v>
      </c>
      <c r="AS298" s="10">
        <f>AF298/32</f>
        <v>0.375</v>
      </c>
      <c r="AT298" s="10">
        <f>AG298/28</f>
        <v>0.2857142857142857</v>
      </c>
    </row>
    <row r="299" spans="1:46" x14ac:dyDescent="0.3">
      <c r="A299" s="2" t="s">
        <v>460</v>
      </c>
      <c r="B299" s="2" t="s">
        <v>146</v>
      </c>
      <c r="C299" s="2" t="s">
        <v>628</v>
      </c>
      <c r="D299" s="2" t="s">
        <v>628</v>
      </c>
      <c r="E299" s="2" t="s">
        <v>148</v>
      </c>
      <c r="F299" s="2" t="s">
        <v>662</v>
      </c>
      <c r="G299" s="2" t="s">
        <v>654</v>
      </c>
      <c r="H299" s="2" t="s">
        <v>888</v>
      </c>
      <c r="I299" s="2" t="s">
        <v>628</v>
      </c>
      <c r="J299" s="2">
        <v>3</v>
      </c>
      <c r="AE299" s="2">
        <v>2008</v>
      </c>
      <c r="AF299" s="2">
        <v>4</v>
      </c>
      <c r="AG299" s="2">
        <v>4</v>
      </c>
      <c r="AH299" s="8">
        <v>0.62144977361829012</v>
      </c>
      <c r="AI299" s="8">
        <v>0.21213380530554732</v>
      </c>
      <c r="AJ299" s="8">
        <v>0.35908075261164052</v>
      </c>
      <c r="AK299" s="8">
        <f>AVERAGE(AH299:AJ299)</f>
        <v>0.39755477717849264</v>
      </c>
      <c r="AS299" s="10">
        <f>AF299/32</f>
        <v>0.125</v>
      </c>
      <c r="AT299" s="10">
        <f>AG299/28</f>
        <v>0.14285714285714285</v>
      </c>
    </row>
    <row r="300" spans="1:46" x14ac:dyDescent="0.3">
      <c r="A300" s="2" t="s">
        <v>427</v>
      </c>
      <c r="B300" s="2" t="s">
        <v>117</v>
      </c>
      <c r="C300" s="2" t="s">
        <v>616</v>
      </c>
      <c r="D300" s="2" t="s">
        <v>308</v>
      </c>
      <c r="E300" s="2" t="s">
        <v>308</v>
      </c>
      <c r="F300" s="2" t="s">
        <v>662</v>
      </c>
      <c r="G300" s="2" t="s">
        <v>655</v>
      </c>
      <c r="H300" s="2" t="s">
        <v>888</v>
      </c>
      <c r="I300" s="2" t="s">
        <v>616</v>
      </c>
      <c r="J300" s="2">
        <v>3</v>
      </c>
      <c r="AG300" s="4">
        <v>0</v>
      </c>
      <c r="AH300" s="8">
        <v>0.42301800866267969</v>
      </c>
      <c r="AI300" s="8">
        <v>0.2942621222434707</v>
      </c>
      <c r="AJ300" s="8">
        <v>0.41796710039232393</v>
      </c>
      <c r="AK300" s="8">
        <f>AVERAGE(AH300:AJ300)</f>
        <v>0.37841574376615811</v>
      </c>
      <c r="AT300" s="10">
        <f>AG300/28</f>
        <v>0</v>
      </c>
    </row>
    <row r="301" spans="1:46" x14ac:dyDescent="0.3">
      <c r="A301" s="2" t="s">
        <v>437</v>
      </c>
      <c r="B301" s="2" t="s">
        <v>126</v>
      </c>
      <c r="C301" s="2" t="s">
        <v>130</v>
      </c>
      <c r="D301" s="2" t="s">
        <v>127</v>
      </c>
      <c r="E301" s="2" t="s">
        <v>127</v>
      </c>
      <c r="F301" s="2" t="s">
        <v>662</v>
      </c>
      <c r="G301" s="2" t="s">
        <v>655</v>
      </c>
      <c r="H301" s="2" t="s">
        <v>888</v>
      </c>
      <c r="I301" s="2" t="s">
        <v>130</v>
      </c>
      <c r="J301" s="2">
        <v>3</v>
      </c>
      <c r="AE301" s="2">
        <v>2012</v>
      </c>
      <c r="AF301" s="2">
        <v>4</v>
      </c>
      <c r="AG301" s="2">
        <v>4</v>
      </c>
      <c r="AH301" s="8">
        <v>0.40932267034237557</v>
      </c>
      <c r="AI301" s="8">
        <v>0.3110124696225573</v>
      </c>
      <c r="AJ301" s="8">
        <v>0.40423918425079713</v>
      </c>
      <c r="AK301" s="8">
        <f>AVERAGE(AH301:AJ301)</f>
        <v>0.37485810807191</v>
      </c>
      <c r="AS301" s="10">
        <f>AF301/32</f>
        <v>0.125</v>
      </c>
      <c r="AT301" s="10">
        <f>AG301/28</f>
        <v>0.14285714285714285</v>
      </c>
    </row>
    <row r="302" spans="1:46" x14ac:dyDescent="0.3">
      <c r="A302" s="2" t="s">
        <v>373</v>
      </c>
      <c r="B302" s="2" t="s">
        <v>70</v>
      </c>
      <c r="C302" s="2" t="s">
        <v>98</v>
      </c>
      <c r="D302" s="2" t="s">
        <v>71</v>
      </c>
      <c r="E302" s="3" t="s">
        <v>71</v>
      </c>
      <c r="F302" s="2" t="s">
        <v>662</v>
      </c>
      <c r="G302" s="2" t="s">
        <v>654</v>
      </c>
      <c r="H302" s="2" t="s">
        <v>888</v>
      </c>
      <c r="I302" s="2" t="s">
        <v>94</v>
      </c>
      <c r="J302" s="2">
        <v>3</v>
      </c>
      <c r="AE302" s="2">
        <v>2008</v>
      </c>
      <c r="AF302" s="2">
        <v>4</v>
      </c>
      <c r="AG302" s="2">
        <v>4</v>
      </c>
      <c r="AH302" s="8">
        <v>0.44325450737485739</v>
      </c>
      <c r="AI302" s="8">
        <v>0.44397178320499142</v>
      </c>
      <c r="AJ302" s="8">
        <v>0.20923628900268243</v>
      </c>
      <c r="AK302" s="8">
        <f>AVERAGE(AH302:AJ302)</f>
        <v>0.36548752652751038</v>
      </c>
      <c r="AS302" s="10">
        <f>AF302/32</f>
        <v>0.125</v>
      </c>
      <c r="AT302" s="10">
        <f>AG302/28</f>
        <v>0.14285714285714285</v>
      </c>
    </row>
    <row r="303" spans="1:46" x14ac:dyDescent="0.3">
      <c r="A303" s="2" t="s">
        <v>420</v>
      </c>
      <c r="B303" s="2" t="s">
        <v>108</v>
      </c>
      <c r="C303" s="2" t="s">
        <v>615</v>
      </c>
      <c r="D303" s="2" t="s">
        <v>298</v>
      </c>
      <c r="E303" s="2" t="s">
        <v>298</v>
      </c>
      <c r="F303" s="2" t="s">
        <v>662</v>
      </c>
      <c r="G303" s="2" t="s">
        <v>655</v>
      </c>
      <c r="H303" s="2" t="s">
        <v>888</v>
      </c>
      <c r="I303" s="2" t="s">
        <v>110</v>
      </c>
      <c r="J303" s="2">
        <v>3</v>
      </c>
      <c r="AH303" s="8">
        <v>0.40222969291276744</v>
      </c>
      <c r="AI303" s="8">
        <v>0.27662815267562241</v>
      </c>
      <c r="AJ303" s="8">
        <v>0.36257375314907819</v>
      </c>
      <c r="AK303" s="8">
        <f>AVERAGE(AH303:AJ303)</f>
        <v>0.34714386624582266</v>
      </c>
    </row>
    <row r="304" spans="1:46" x14ac:dyDescent="0.3">
      <c r="A304" s="2" t="s">
        <v>421</v>
      </c>
      <c r="B304" s="2" t="s">
        <v>108</v>
      </c>
      <c r="C304" s="2" t="s">
        <v>112</v>
      </c>
      <c r="D304" s="2" t="s">
        <v>111</v>
      </c>
      <c r="E304" s="2" t="s">
        <v>111</v>
      </c>
      <c r="F304" s="2" t="s">
        <v>662</v>
      </c>
      <c r="G304" s="2" t="s">
        <v>655</v>
      </c>
      <c r="H304" s="2" t="s">
        <v>888</v>
      </c>
      <c r="I304" s="2" t="s">
        <v>112</v>
      </c>
      <c r="J304" s="2">
        <v>3</v>
      </c>
      <c r="AE304" s="2">
        <v>2008</v>
      </c>
      <c r="AF304" s="2">
        <v>4</v>
      </c>
      <c r="AG304" s="2">
        <v>4</v>
      </c>
      <c r="AH304" s="8">
        <v>0.32805143305531675</v>
      </c>
      <c r="AI304" s="8">
        <v>0.15705176089886658</v>
      </c>
      <c r="AJ304" s="8">
        <v>0.53590331609835629</v>
      </c>
      <c r="AK304" s="8">
        <f>AVERAGE(AH304:AJ304)</f>
        <v>0.34033550335084656</v>
      </c>
      <c r="AS304" s="10">
        <f>AF304/32</f>
        <v>0.125</v>
      </c>
      <c r="AT304" s="10">
        <f>AG304/28</f>
        <v>0.14285714285714285</v>
      </c>
    </row>
    <row r="305" spans="1:46" x14ac:dyDescent="0.3">
      <c r="A305" s="2" t="s">
        <v>321</v>
      </c>
      <c r="B305" s="2" t="s">
        <v>27</v>
      </c>
      <c r="C305" s="2" t="s">
        <v>619</v>
      </c>
      <c r="D305" s="2" t="s">
        <v>297</v>
      </c>
      <c r="E305" s="2" t="s">
        <v>297</v>
      </c>
      <c r="F305" s="2" t="s">
        <v>662</v>
      </c>
      <c r="G305" s="2" t="s">
        <v>655</v>
      </c>
      <c r="H305" s="2" t="s">
        <v>888</v>
      </c>
      <c r="I305" s="2" t="s">
        <v>36</v>
      </c>
      <c r="J305" s="2">
        <v>3</v>
      </c>
      <c r="AH305" s="8">
        <v>0.37360874999051241</v>
      </c>
      <c r="AI305" s="8">
        <v>9.7034833828120809E-2</v>
      </c>
      <c r="AJ305" s="8">
        <v>0.5156765364762278</v>
      </c>
      <c r="AK305" s="8">
        <f>AVERAGE(AH305:AJ305)</f>
        <v>0.32877337343162033</v>
      </c>
    </row>
    <row r="306" spans="1:46" x14ac:dyDescent="0.3">
      <c r="A306" s="2" t="s">
        <v>367</v>
      </c>
      <c r="B306" s="2" t="s">
        <v>63</v>
      </c>
      <c r="C306" s="2" t="s">
        <v>312</v>
      </c>
      <c r="D306" s="2" t="s">
        <v>64</v>
      </c>
      <c r="E306" s="3" t="s">
        <v>64</v>
      </c>
      <c r="F306" s="3" t="s">
        <v>662</v>
      </c>
      <c r="G306" s="2" t="s">
        <v>655</v>
      </c>
      <c r="H306" s="2" t="s">
        <v>888</v>
      </c>
      <c r="I306" s="2" t="s">
        <v>67</v>
      </c>
      <c r="J306" s="2">
        <v>3</v>
      </c>
      <c r="AE306" s="2">
        <v>2004</v>
      </c>
      <c r="AF306" s="2">
        <v>4</v>
      </c>
      <c r="AG306" s="2">
        <v>4</v>
      </c>
      <c r="AH306" s="8">
        <v>0.34704212422327435</v>
      </c>
      <c r="AI306" s="8">
        <v>7.7138386295344849E-2</v>
      </c>
      <c r="AJ306" s="8">
        <v>0.55980172830288466</v>
      </c>
      <c r="AK306" s="8">
        <f>AVERAGE(AH306:AJ306)</f>
        <v>0.32799407960716792</v>
      </c>
      <c r="AS306" s="10">
        <f>AF306/32</f>
        <v>0.125</v>
      </c>
      <c r="AT306" s="10">
        <f>AG306/28</f>
        <v>0.14285714285714285</v>
      </c>
    </row>
    <row r="307" spans="1:46" x14ac:dyDescent="0.3">
      <c r="A307" s="2" t="s">
        <v>438</v>
      </c>
      <c r="B307" s="2" t="s">
        <v>126</v>
      </c>
      <c r="C307" s="2" t="s">
        <v>128</v>
      </c>
      <c r="D307" s="2" t="s">
        <v>128</v>
      </c>
      <c r="E307" s="2" t="s">
        <v>128</v>
      </c>
      <c r="F307" s="2" t="s">
        <v>662</v>
      </c>
      <c r="G307" s="2" t="s">
        <v>654</v>
      </c>
      <c r="H307" s="2" t="s">
        <v>888</v>
      </c>
      <c r="I307" s="2" t="s">
        <v>130</v>
      </c>
      <c r="J307" s="2">
        <v>3</v>
      </c>
      <c r="AE307" s="2" t="s">
        <v>695</v>
      </c>
      <c r="AF307" s="2">
        <v>16</v>
      </c>
      <c r="AG307" s="2">
        <v>16</v>
      </c>
      <c r="AH307" s="8">
        <v>0.26717283103975459</v>
      </c>
      <c r="AI307" s="8">
        <v>0.44056301530863662</v>
      </c>
      <c r="AJ307" s="8">
        <v>0.23264451424293764</v>
      </c>
      <c r="AK307" s="8">
        <f>AVERAGE(AH307:AJ307)</f>
        <v>0.31346012019710962</v>
      </c>
      <c r="AS307" s="10">
        <f>AF307/32</f>
        <v>0.5</v>
      </c>
      <c r="AT307" s="10">
        <f>AG307/28</f>
        <v>0.5714285714285714</v>
      </c>
    </row>
    <row r="308" spans="1:46" x14ac:dyDescent="0.3">
      <c r="A308" s="2" t="s">
        <v>507</v>
      </c>
      <c r="B308" s="2" t="s">
        <v>167</v>
      </c>
      <c r="C308" s="2" t="s">
        <v>637</v>
      </c>
      <c r="D308" s="2" t="s">
        <v>265</v>
      </c>
      <c r="E308" s="2" t="s">
        <v>265</v>
      </c>
      <c r="F308" s="2" t="s">
        <v>662</v>
      </c>
      <c r="G308" s="2" t="s">
        <v>655</v>
      </c>
      <c r="H308" s="2" t="s">
        <v>888</v>
      </c>
      <c r="I308" s="2" t="s">
        <v>179</v>
      </c>
      <c r="J308" s="2">
        <v>3</v>
      </c>
      <c r="AE308" s="2">
        <v>2016</v>
      </c>
      <c r="AF308" s="2">
        <v>4</v>
      </c>
      <c r="AG308" s="2">
        <v>4</v>
      </c>
      <c r="AH308" s="8">
        <v>0.31037364478590779</v>
      </c>
      <c r="AI308" s="8">
        <v>0.4831271730020722</v>
      </c>
      <c r="AJ308" s="8">
        <v>0.14485217396122707</v>
      </c>
      <c r="AK308" s="8">
        <f>AVERAGE(AH308:AJ308)</f>
        <v>0.31278433058306904</v>
      </c>
      <c r="AS308" s="10">
        <f>AF308/32</f>
        <v>0.125</v>
      </c>
      <c r="AT308" s="10">
        <f>AG308/28</f>
        <v>0.14285714285714285</v>
      </c>
    </row>
    <row r="309" spans="1:46" x14ac:dyDescent="0.3">
      <c r="A309" s="2" t="s">
        <v>439</v>
      </c>
      <c r="B309" s="2" t="s">
        <v>126</v>
      </c>
      <c r="C309" s="2" t="s">
        <v>128</v>
      </c>
      <c r="D309" s="2" t="s">
        <v>129</v>
      </c>
      <c r="E309" s="2" t="s">
        <v>129</v>
      </c>
      <c r="F309" s="2" t="s">
        <v>662</v>
      </c>
      <c r="G309" s="2" t="s">
        <v>655</v>
      </c>
      <c r="H309" s="2" t="s">
        <v>888</v>
      </c>
      <c r="I309" s="2" t="s">
        <v>130</v>
      </c>
      <c r="J309" s="2">
        <v>3</v>
      </c>
      <c r="AE309" s="2">
        <v>2008</v>
      </c>
      <c r="AF309" s="2">
        <v>4</v>
      </c>
      <c r="AG309" s="2">
        <v>4</v>
      </c>
      <c r="AH309" s="8">
        <v>0.25243447562018417</v>
      </c>
      <c r="AI309" s="8">
        <v>8.3137875098572497E-2</v>
      </c>
      <c r="AJ309" s="8">
        <v>0.51277116594283956</v>
      </c>
      <c r="AK309" s="8">
        <f>AVERAGE(AH309:AJ309)</f>
        <v>0.28278117222053206</v>
      </c>
      <c r="AS309" s="10">
        <f>AF309/32</f>
        <v>0.125</v>
      </c>
      <c r="AT309" s="10">
        <f>AG309/28</f>
        <v>0.14285714285714285</v>
      </c>
    </row>
    <row r="310" spans="1:46" x14ac:dyDescent="0.3">
      <c r="A310" s="2" t="s">
        <v>322</v>
      </c>
      <c r="B310" s="2" t="s">
        <v>27</v>
      </c>
      <c r="C310" s="2" t="s">
        <v>622</v>
      </c>
      <c r="D310" s="2" t="s">
        <v>296</v>
      </c>
      <c r="E310" s="2" t="s">
        <v>296</v>
      </c>
      <c r="F310" s="2" t="s">
        <v>662</v>
      </c>
      <c r="G310" s="2" t="s">
        <v>655</v>
      </c>
      <c r="H310" s="2" t="s">
        <v>888</v>
      </c>
      <c r="I310" s="2" t="s">
        <v>36</v>
      </c>
      <c r="J310" s="2">
        <v>3</v>
      </c>
      <c r="AH310" s="8">
        <v>0.28179424004107262</v>
      </c>
      <c r="AI310" s="8">
        <v>0.19841762575374888</v>
      </c>
      <c r="AJ310" s="8">
        <v>0.31206296310653187</v>
      </c>
      <c r="AK310" s="8">
        <f>AVERAGE(AH310:AJ310)</f>
        <v>0.26409160963378447</v>
      </c>
    </row>
    <row r="311" spans="1:46" x14ac:dyDescent="0.3">
      <c r="A311" s="2" t="s">
        <v>366</v>
      </c>
      <c r="B311" s="2" t="s">
        <v>63</v>
      </c>
      <c r="C311" s="2" t="s">
        <v>312</v>
      </c>
      <c r="D311" s="2" t="s">
        <v>312</v>
      </c>
      <c r="E311" s="3" t="s">
        <v>312</v>
      </c>
      <c r="F311" s="3" t="s">
        <v>662</v>
      </c>
      <c r="G311" s="2" t="s">
        <v>654</v>
      </c>
      <c r="H311" s="2" t="s">
        <v>888</v>
      </c>
      <c r="I311" s="2" t="s">
        <v>67</v>
      </c>
      <c r="J311" s="2">
        <v>3</v>
      </c>
      <c r="AE311" s="2">
        <v>2004</v>
      </c>
      <c r="AF311" s="2">
        <v>4</v>
      </c>
      <c r="AG311" s="2">
        <v>4</v>
      </c>
      <c r="AH311" s="8">
        <v>0.23836443256812082</v>
      </c>
      <c r="AI311" s="8">
        <v>0.2337814359231084</v>
      </c>
      <c r="AJ311" s="8">
        <v>0.29740705063269796</v>
      </c>
      <c r="AK311" s="8">
        <f>AVERAGE(AH311:AJ311)</f>
        <v>0.25651763970797575</v>
      </c>
      <c r="AS311" s="10">
        <f>AF311/32</f>
        <v>0.125</v>
      </c>
      <c r="AT311" s="10">
        <f>AG311/28</f>
        <v>0.14285714285714285</v>
      </c>
    </row>
    <row r="312" spans="1:46" x14ac:dyDescent="0.3">
      <c r="A312" s="2">
        <v>2706307</v>
      </c>
      <c r="B312" s="2" t="s">
        <v>21</v>
      </c>
      <c r="C312" s="2" t="s">
        <v>20</v>
      </c>
      <c r="D312" s="2" t="s">
        <v>718</v>
      </c>
      <c r="E312" s="2" t="s">
        <v>718</v>
      </c>
      <c r="F312" s="2" t="s">
        <v>662</v>
      </c>
      <c r="G312" s="2" t="s">
        <v>655</v>
      </c>
      <c r="H312" s="2" t="s">
        <v>888</v>
      </c>
      <c r="I312" s="2" t="s">
        <v>20</v>
      </c>
      <c r="J312" s="2">
        <v>3</v>
      </c>
      <c r="AE312" s="2">
        <v>2020</v>
      </c>
      <c r="AF312" s="2">
        <v>4</v>
      </c>
      <c r="AG312" s="2">
        <v>4</v>
      </c>
      <c r="AH312" s="8">
        <v>0.34578739344161236</v>
      </c>
      <c r="AI312" s="8">
        <v>3.8598315964149504E-2</v>
      </c>
      <c r="AJ312" s="8">
        <v>0.30244287467312919</v>
      </c>
      <c r="AK312" s="8">
        <f>AVERAGE(AH312:AJ312)</f>
        <v>0.22894286135963035</v>
      </c>
      <c r="AS312" s="10">
        <f>AF312/32</f>
        <v>0.125</v>
      </c>
      <c r="AT312" s="10">
        <f>AG312/28</f>
        <v>0.14285714285714285</v>
      </c>
    </row>
    <row r="313" spans="1:46" x14ac:dyDescent="0.3">
      <c r="A313" s="2" t="s">
        <v>536</v>
      </c>
      <c r="B313" s="2" t="s">
        <v>51</v>
      </c>
      <c r="C313" s="2" t="s">
        <v>618</v>
      </c>
      <c r="D313" s="2" t="s">
        <v>304</v>
      </c>
      <c r="E313" s="2" t="s">
        <v>304</v>
      </c>
      <c r="F313" s="2" t="s">
        <v>662</v>
      </c>
      <c r="G313" s="2" t="s">
        <v>655</v>
      </c>
      <c r="H313" s="2" t="s">
        <v>888</v>
      </c>
      <c r="I313" s="2" t="s">
        <v>199</v>
      </c>
      <c r="J313" s="2">
        <v>3</v>
      </c>
      <c r="AH313" s="8">
        <v>0.22787894432093922</v>
      </c>
      <c r="AI313" s="8">
        <v>0.20122915183728921</v>
      </c>
      <c r="AJ313" s="8">
        <v>0.21519253826028886</v>
      </c>
      <c r="AK313" s="8">
        <f>AVERAGE(AH313:AJ313)</f>
        <v>0.21476687813950576</v>
      </c>
    </row>
    <row r="314" spans="1:46" x14ac:dyDescent="0.3">
      <c r="A314" s="2" t="s">
        <v>436</v>
      </c>
      <c r="B314" s="2" t="s">
        <v>117</v>
      </c>
      <c r="C314" s="2" t="s">
        <v>124</v>
      </c>
      <c r="D314" s="2" t="s">
        <v>309</v>
      </c>
      <c r="E314" s="2" t="s">
        <v>309</v>
      </c>
      <c r="F314" s="2" t="s">
        <v>662</v>
      </c>
      <c r="G314" s="2" t="s">
        <v>655</v>
      </c>
      <c r="H314" s="2" t="s">
        <v>888</v>
      </c>
      <c r="I314" s="2" t="s">
        <v>120</v>
      </c>
      <c r="J314" s="2">
        <v>3</v>
      </c>
      <c r="AE314" s="2">
        <v>2016</v>
      </c>
      <c r="AF314" s="2">
        <v>4</v>
      </c>
      <c r="AG314" s="2">
        <v>4</v>
      </c>
      <c r="AH314" s="8">
        <v>0.23302508930224614</v>
      </c>
      <c r="AI314" s="8">
        <v>2.4246857059807624E-2</v>
      </c>
      <c r="AJ314" s="8">
        <v>0.31092255737116076</v>
      </c>
      <c r="AK314" s="8">
        <f>AVERAGE(AH314:AJ314)</f>
        <v>0.18939816791107153</v>
      </c>
      <c r="AS314" s="10">
        <f>AF314/32</f>
        <v>0.125</v>
      </c>
      <c r="AT314" s="10">
        <f>AG314/28</f>
        <v>0.14285714285714285</v>
      </c>
    </row>
    <row r="315" spans="1:46" x14ac:dyDescent="0.3">
      <c r="A315" s="2" t="s">
        <v>333</v>
      </c>
      <c r="B315" s="2" t="s">
        <v>27</v>
      </c>
      <c r="C315" s="2" t="s">
        <v>34</v>
      </c>
      <c r="D315" s="2" t="s">
        <v>37</v>
      </c>
      <c r="E315" s="3" t="s">
        <v>37</v>
      </c>
      <c r="F315" s="3" t="s">
        <v>662</v>
      </c>
      <c r="G315" s="2" t="s">
        <v>654</v>
      </c>
      <c r="H315" s="2" t="s">
        <v>888</v>
      </c>
      <c r="I315" s="2" t="s">
        <v>668</v>
      </c>
      <c r="J315" s="2">
        <v>3</v>
      </c>
      <c r="AE315" s="2" t="s">
        <v>677</v>
      </c>
      <c r="AF315" s="2">
        <v>12</v>
      </c>
      <c r="AG315" s="2">
        <v>12</v>
      </c>
      <c r="AH315" s="8">
        <v>0.19237224383934554</v>
      </c>
      <c r="AI315" s="8">
        <v>4.0624813435943014E-2</v>
      </c>
      <c r="AJ315" s="8">
        <v>0.22353578074853864</v>
      </c>
      <c r="AK315" s="8">
        <f>AVERAGE(AH315:AJ315)</f>
        <v>0.15217761267460905</v>
      </c>
      <c r="AS315" s="10">
        <f>AF315/32</f>
        <v>0.375</v>
      </c>
      <c r="AT315" s="10">
        <f>AG315/28</f>
        <v>0.42857142857142855</v>
      </c>
    </row>
  </sheetData>
  <autoFilter ref="A1:BC1" xr:uid="{3AB4F4BD-458A-49A3-B6A2-7A472D497C67}">
    <sortState xmlns:xlrd2="http://schemas.microsoft.com/office/spreadsheetml/2017/richdata2" ref="A2:BC315">
      <sortCondition descending="1" ref="AU1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Sartori Bogo</dc:creator>
  <cp:lastModifiedBy>Rodrigo Sartori Bogo</cp:lastModifiedBy>
  <dcterms:created xsi:type="dcterms:W3CDTF">2023-03-23T21:33:03Z</dcterms:created>
  <dcterms:modified xsi:type="dcterms:W3CDTF">2025-03-31T19:06:12Z</dcterms:modified>
</cp:coreProperties>
</file>