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e90bbc5bc3dcb63/Pósdoc/Posdoc/Experimentos Posdoc/1ª PARTE - MoVOx/Reações/"/>
    </mc:Choice>
  </mc:AlternateContent>
  <xr:revisionPtr revIDLastSave="1233" documentId="13_ncr:1_{60530532-7110-43D7-8DE6-0EF4E1E58CB8}" xr6:coauthVersionLast="47" xr6:coauthVersionMax="47" xr10:uidLastSave="{441E1169-9348-4458-99D5-4ABD69128270}"/>
  <bookViews>
    <workbookView xWindow="-120" yWindow="-120" windowWidth="29040" windowHeight="15720" firstSheet="3" activeTab="9" xr2:uid="{B94E43CD-0052-493A-B835-A6D27D18E59E}"/>
  </bookViews>
  <sheets>
    <sheet name="Tempos de retenção" sheetId="11" r:id="rId1"/>
    <sheet name="Branco" sheetId="7" r:id="rId2"/>
    <sheet name="MoVOx_N2N2" sheetId="3" r:id="rId3"/>
    <sheet name="MoVOx_O2O2" sheetId="12" r:id="rId4"/>
    <sheet name="Branco2" sheetId="15" r:id="rId5"/>
    <sheet name="MoV-N2 (DHP 2.1)" sheetId="13" r:id="rId6"/>
    <sheet name="Branco3" sheetId="16" r:id="rId7"/>
    <sheet name="V_MoO3" sheetId="14" r:id="rId8"/>
    <sheet name="MoVOx_N2N2 (2.1)" sheetId="17" r:id="rId9"/>
    <sheet name="MoO3 (DHP)" sheetId="18" r:id="rId10"/>
    <sheet name="Branco 4" sheetId="19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9" i="18" l="1"/>
  <c r="AV10" i="18"/>
  <c r="AV11" i="18"/>
  <c r="AV12" i="18"/>
  <c r="AV13" i="18"/>
  <c r="AV14" i="18"/>
  <c r="AV15" i="18"/>
  <c r="AV16" i="18"/>
  <c r="AV17" i="18"/>
  <c r="AV18" i="18"/>
  <c r="AV19" i="18"/>
  <c r="AV20" i="18"/>
  <c r="AV21" i="18"/>
  <c r="AV22" i="18"/>
  <c r="AV23" i="18"/>
  <c r="AV24" i="18"/>
  <c r="AV25" i="18"/>
  <c r="AV26" i="18"/>
  <c r="AV27" i="18"/>
  <c r="AV28" i="18"/>
  <c r="P10" i="19"/>
  <c r="F10" i="19"/>
  <c r="D10" i="19"/>
  <c r="C20" i="19"/>
  <c r="C19" i="19"/>
  <c r="F18" i="19"/>
  <c r="C18" i="19"/>
  <c r="F17" i="19"/>
  <c r="C17" i="19"/>
  <c r="C15" i="19" s="1"/>
  <c r="F16" i="19"/>
  <c r="C16" i="19"/>
  <c r="F15" i="19"/>
  <c r="F14" i="19"/>
  <c r="F19" i="19" s="1"/>
  <c r="U10" i="19"/>
  <c r="L10" i="19"/>
  <c r="J10" i="19"/>
  <c r="W9" i="19"/>
  <c r="R9" i="19"/>
  <c r="P9" i="19"/>
  <c r="W8" i="19"/>
  <c r="R8" i="19"/>
  <c r="P8" i="19"/>
  <c r="W7" i="19"/>
  <c r="R7" i="19"/>
  <c r="P7" i="19"/>
  <c r="W6" i="19"/>
  <c r="R6" i="19"/>
  <c r="P6" i="19"/>
  <c r="W5" i="19"/>
  <c r="R5" i="19"/>
  <c r="P5" i="19"/>
  <c r="W4" i="19"/>
  <c r="R4" i="19"/>
  <c r="P4" i="19"/>
  <c r="W3" i="19"/>
  <c r="W10" i="19" s="1"/>
  <c r="R3" i="19"/>
  <c r="P3" i="19"/>
  <c r="G9" i="18"/>
  <c r="G10" i="18"/>
  <c r="G11" i="18"/>
  <c r="G12" i="18"/>
  <c r="G13" i="18"/>
  <c r="G14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8" i="18"/>
  <c r="C37" i="18"/>
  <c r="AC32" i="18"/>
  <c r="W32" i="18"/>
  <c r="U32" i="18"/>
  <c r="AC31" i="18"/>
  <c r="W31" i="18"/>
  <c r="U31" i="18"/>
  <c r="AC30" i="18"/>
  <c r="W30" i="18"/>
  <c r="U30" i="18"/>
  <c r="AC29" i="18"/>
  <c r="Z29" i="18"/>
  <c r="W29" i="18"/>
  <c r="U29" i="18"/>
  <c r="AC28" i="18"/>
  <c r="W28" i="18"/>
  <c r="U28" i="18"/>
  <c r="D28" i="18"/>
  <c r="B34" i="18" s="1"/>
  <c r="B35" i="18" s="1"/>
  <c r="AC27" i="18"/>
  <c r="AB27" i="18"/>
  <c r="W27" i="18"/>
  <c r="U27" i="18"/>
  <c r="AC26" i="18"/>
  <c r="Z26" i="18"/>
  <c r="W26" i="18"/>
  <c r="U26" i="18"/>
  <c r="C26" i="18"/>
  <c r="AC25" i="18"/>
  <c r="W25" i="18"/>
  <c r="U25" i="18"/>
  <c r="C25" i="18"/>
  <c r="AD24" i="18"/>
  <c r="AC24" i="18"/>
  <c r="W24" i="18"/>
  <c r="U24" i="18"/>
  <c r="AD23" i="18"/>
  <c r="AC23" i="18"/>
  <c r="W23" i="18"/>
  <c r="U23" i="18"/>
  <c r="AD22" i="18"/>
  <c r="AC22" i="18"/>
  <c r="Z22" i="18"/>
  <c r="W22" i="18"/>
  <c r="U22" i="18"/>
  <c r="C22" i="18"/>
  <c r="C23" i="18" s="1"/>
  <c r="AC21" i="18"/>
  <c r="Z21" i="18"/>
  <c r="W21" i="18"/>
  <c r="U21" i="18"/>
  <c r="AC20" i="18"/>
  <c r="W20" i="18"/>
  <c r="U20" i="18"/>
  <c r="AC19" i="18"/>
  <c r="AB19" i="18"/>
  <c r="X19" i="18"/>
  <c r="W19" i="18"/>
  <c r="U19" i="18"/>
  <c r="E19" i="18"/>
  <c r="D19" i="18"/>
  <c r="AD28" i="18" s="1"/>
  <c r="AD18" i="18"/>
  <c r="AC18" i="18"/>
  <c r="AB18" i="18"/>
  <c r="W18" i="18"/>
  <c r="U18" i="18"/>
  <c r="E18" i="18"/>
  <c r="AD17" i="18"/>
  <c r="AC17" i="18"/>
  <c r="W17" i="18"/>
  <c r="U17" i="18"/>
  <c r="AD16" i="18"/>
  <c r="AC16" i="18"/>
  <c r="AB16" i="18"/>
  <c r="X16" i="18"/>
  <c r="W16" i="18"/>
  <c r="U16" i="18"/>
  <c r="E16" i="18"/>
  <c r="AD15" i="18"/>
  <c r="AC15" i="18"/>
  <c r="W15" i="18"/>
  <c r="U15" i="18"/>
  <c r="E15" i="18"/>
  <c r="D15" i="18"/>
  <c r="AB22" i="18" s="1"/>
  <c r="AD14" i="18"/>
  <c r="AC14" i="18"/>
  <c r="AB14" i="18"/>
  <c r="X14" i="18"/>
  <c r="W14" i="18"/>
  <c r="U14" i="18"/>
  <c r="D14" i="18"/>
  <c r="Z27" i="18" s="1"/>
  <c r="AD13" i="18"/>
  <c r="AC13" i="18"/>
  <c r="Z13" i="18"/>
  <c r="W13" i="18"/>
  <c r="U13" i="18"/>
  <c r="D13" i="18"/>
  <c r="Y13" i="18" s="1"/>
  <c r="AD12" i="18"/>
  <c r="AC12" i="18"/>
  <c r="AB12" i="18"/>
  <c r="Z12" i="18"/>
  <c r="W12" i="18"/>
  <c r="U12" i="18"/>
  <c r="D12" i="18"/>
  <c r="AD11" i="18"/>
  <c r="AC11" i="18"/>
  <c r="AB11" i="18"/>
  <c r="Z11" i="18"/>
  <c r="W11" i="18"/>
  <c r="U11" i="18"/>
  <c r="E11" i="18"/>
  <c r="AD10" i="18"/>
  <c r="AC10" i="18"/>
  <c r="AB10" i="18"/>
  <c r="Z10" i="18"/>
  <c r="W10" i="18"/>
  <c r="U10" i="18"/>
  <c r="AD9" i="18"/>
  <c r="AC9" i="18"/>
  <c r="AB9" i="18"/>
  <c r="Z9" i="18"/>
  <c r="Y9" i="18"/>
  <c r="X9" i="18"/>
  <c r="W9" i="18"/>
  <c r="U9" i="18"/>
  <c r="E9" i="18"/>
  <c r="AD8" i="18"/>
  <c r="AC8" i="18"/>
  <c r="AB8" i="18"/>
  <c r="Z8" i="18"/>
  <c r="X8" i="18"/>
  <c r="W8" i="18"/>
  <c r="U8" i="18"/>
  <c r="AV8" i="18" s="1"/>
  <c r="AD7" i="18"/>
  <c r="AC7" i="18"/>
  <c r="AB7" i="18"/>
  <c r="Z7" i="18"/>
  <c r="X7" i="18"/>
  <c r="W7" i="18"/>
  <c r="U7" i="18"/>
  <c r="AD6" i="18"/>
  <c r="AC6" i="18"/>
  <c r="AB6" i="18"/>
  <c r="Z6" i="18"/>
  <c r="X6" i="18"/>
  <c r="W6" i="18"/>
  <c r="U6" i="18"/>
  <c r="AD5" i="18"/>
  <c r="AC5" i="18"/>
  <c r="AB5" i="18"/>
  <c r="Z5" i="18"/>
  <c r="Y5" i="18"/>
  <c r="X5" i="18"/>
  <c r="W5" i="18"/>
  <c r="U5" i="18"/>
  <c r="AO8" i="12"/>
  <c r="AO8" i="13"/>
  <c r="AE9" i="17"/>
  <c r="AE10" i="17"/>
  <c r="AE11" i="17"/>
  <c r="AE12" i="17"/>
  <c r="AE13" i="17"/>
  <c r="AE14" i="17"/>
  <c r="AE15" i="17"/>
  <c r="AE16" i="17"/>
  <c r="AE17" i="17"/>
  <c r="AE18" i="17"/>
  <c r="AE19" i="17"/>
  <c r="AE20" i="17"/>
  <c r="AE21" i="17"/>
  <c r="AE22" i="17"/>
  <c r="AE23" i="17"/>
  <c r="AE24" i="17"/>
  <c r="AE25" i="17"/>
  <c r="AE26" i="17"/>
  <c r="AE27" i="17"/>
  <c r="AE28" i="17"/>
  <c r="AE8" i="17"/>
  <c r="R10" i="19" l="1"/>
  <c r="Y23" i="18"/>
  <c r="Y8" i="18"/>
  <c r="X29" i="18"/>
  <c r="X21" i="18"/>
  <c r="X31" i="18"/>
  <c r="X24" i="18"/>
  <c r="X12" i="18"/>
  <c r="X27" i="18"/>
  <c r="X22" i="18"/>
  <c r="X13" i="18"/>
  <c r="X25" i="18"/>
  <c r="X17" i="18"/>
  <c r="X28" i="18"/>
  <c r="E12" i="18"/>
  <c r="X10" i="18"/>
  <c r="X32" i="18"/>
  <c r="X30" i="18"/>
  <c r="X23" i="18"/>
  <c r="X26" i="18"/>
  <c r="X18" i="18"/>
  <c r="X20" i="18"/>
  <c r="Y7" i="18"/>
  <c r="Y31" i="18"/>
  <c r="Y24" i="18"/>
  <c r="Y12" i="18"/>
  <c r="Y27" i="18"/>
  <c r="Y19" i="18"/>
  <c r="Y16" i="18"/>
  <c r="Y22" i="18"/>
  <c r="Y25" i="18"/>
  <c r="Y17" i="18"/>
  <c r="Y28" i="18"/>
  <c r="Y10" i="18"/>
  <c r="Y32" i="18"/>
  <c r="Y30" i="18"/>
  <c r="Y20" i="18"/>
  <c r="Y14" i="18"/>
  <c r="Y26" i="18"/>
  <c r="Y15" i="18"/>
  <c r="E13" i="18"/>
  <c r="Y11" i="18"/>
  <c r="Y29" i="18"/>
  <c r="Y21" i="18"/>
  <c r="D10" i="18"/>
  <c r="X15" i="18"/>
  <c r="Y6" i="18"/>
  <c r="X11" i="18"/>
  <c r="Y18" i="18"/>
  <c r="D17" i="18"/>
  <c r="Z24" i="18"/>
  <c r="AD25" i="18"/>
  <c r="Z31" i="18"/>
  <c r="D32" i="18"/>
  <c r="Z18" i="18"/>
  <c r="AB24" i="18"/>
  <c r="AB31" i="18"/>
  <c r="Z15" i="18"/>
  <c r="AD19" i="18"/>
  <c r="AB21" i="18"/>
  <c r="AD27" i="18"/>
  <c r="AB29" i="18"/>
  <c r="AD31" i="18"/>
  <c r="AB15" i="18"/>
  <c r="AD21" i="18"/>
  <c r="Z23" i="18"/>
  <c r="AD29" i="18"/>
  <c r="Z14" i="18"/>
  <c r="Z20" i="18"/>
  <c r="AB26" i="18"/>
  <c r="Z30" i="18"/>
  <c r="D31" i="18"/>
  <c r="Z32" i="18"/>
  <c r="AB23" i="18"/>
  <c r="Z28" i="18"/>
  <c r="Z17" i="18"/>
  <c r="AB20" i="18"/>
  <c r="Z25" i="18"/>
  <c r="AD26" i="18"/>
  <c r="AB30" i="18"/>
  <c r="AB32" i="18"/>
  <c r="AB28" i="18"/>
  <c r="AB17" i="18"/>
  <c r="AD20" i="18"/>
  <c r="AB25" i="18"/>
  <c r="AD30" i="18"/>
  <c r="AD32" i="18"/>
  <c r="AB13" i="18"/>
  <c r="E14" i="18"/>
  <c r="Z16" i="18"/>
  <c r="Z19" i="18"/>
  <c r="H42" i="17"/>
  <c r="H41" i="17"/>
  <c r="H40" i="17"/>
  <c r="H39" i="17"/>
  <c r="H38" i="17"/>
  <c r="C37" i="17"/>
  <c r="AB28" i="17"/>
  <c r="V28" i="17"/>
  <c r="T28" i="17"/>
  <c r="F28" i="17"/>
  <c r="D28" i="17"/>
  <c r="B34" i="17" s="1"/>
  <c r="AB27" i="17"/>
  <c r="V27" i="17"/>
  <c r="T27" i="17"/>
  <c r="F27" i="17"/>
  <c r="AB26" i="17"/>
  <c r="V26" i="17"/>
  <c r="T26" i="17"/>
  <c r="F26" i="17"/>
  <c r="AB25" i="17"/>
  <c r="V25" i="17"/>
  <c r="T25" i="17"/>
  <c r="F25" i="17"/>
  <c r="C25" i="17"/>
  <c r="C26" i="17" s="1"/>
  <c r="AB24" i="17"/>
  <c r="V24" i="17"/>
  <c r="T24" i="17"/>
  <c r="F24" i="17"/>
  <c r="AB23" i="17"/>
  <c r="V23" i="17"/>
  <c r="T23" i="17"/>
  <c r="F23" i="17"/>
  <c r="AB22" i="17"/>
  <c r="V22" i="17"/>
  <c r="T22" i="17"/>
  <c r="F22" i="17"/>
  <c r="C22" i="17"/>
  <c r="C23" i="17" s="1"/>
  <c r="AB21" i="17"/>
  <c r="V21" i="17"/>
  <c r="T21" i="17"/>
  <c r="F21" i="17"/>
  <c r="AC20" i="17"/>
  <c r="AB20" i="17"/>
  <c r="X20" i="17"/>
  <c r="V20" i="17"/>
  <c r="T20" i="17"/>
  <c r="F20" i="17"/>
  <c r="AB19" i="17"/>
  <c r="V19" i="17"/>
  <c r="T19" i="17"/>
  <c r="F19" i="17"/>
  <c r="E19" i="17"/>
  <c r="D19" i="17"/>
  <c r="AC27" i="17" s="1"/>
  <c r="AB18" i="17"/>
  <c r="V18" i="17"/>
  <c r="T18" i="17"/>
  <c r="F18" i="17"/>
  <c r="E18" i="17"/>
  <c r="AB17" i="17"/>
  <c r="AA17" i="17"/>
  <c r="V17" i="17"/>
  <c r="T17" i="17"/>
  <c r="F17" i="17"/>
  <c r="AB16" i="17"/>
  <c r="X16" i="17"/>
  <c r="V16" i="17"/>
  <c r="T16" i="17"/>
  <c r="F16" i="17"/>
  <c r="E16" i="17"/>
  <c r="AC15" i="17"/>
  <c r="AB15" i="17"/>
  <c r="V15" i="17"/>
  <c r="T15" i="17"/>
  <c r="F15" i="17"/>
  <c r="D15" i="17"/>
  <c r="AA15" i="17" s="1"/>
  <c r="AC14" i="17"/>
  <c r="AB14" i="17"/>
  <c r="AA14" i="17"/>
  <c r="X14" i="17"/>
  <c r="V14" i="17"/>
  <c r="T14" i="17"/>
  <c r="F14" i="17"/>
  <c r="D14" i="17"/>
  <c r="Y10" i="17" s="1"/>
  <c r="AC13" i="17"/>
  <c r="AB13" i="17"/>
  <c r="V13" i="17"/>
  <c r="T13" i="17"/>
  <c r="F13" i="17"/>
  <c r="E13" i="17"/>
  <c r="D13" i="17"/>
  <c r="X26" i="17" s="1"/>
  <c r="AB12" i="17"/>
  <c r="AA12" i="17"/>
  <c r="W12" i="17"/>
  <c r="V12" i="17"/>
  <c r="T12" i="17"/>
  <c r="F12" i="17"/>
  <c r="E12" i="17"/>
  <c r="D12" i="17"/>
  <c r="W14" i="17" s="1"/>
  <c r="AC11" i="17"/>
  <c r="AB11" i="17"/>
  <c r="AA11" i="17"/>
  <c r="V11" i="17"/>
  <c r="T11" i="17"/>
  <c r="F11" i="17"/>
  <c r="E11" i="17"/>
  <c r="AB10" i="17"/>
  <c r="W10" i="17"/>
  <c r="V10" i="17"/>
  <c r="T10" i="17"/>
  <c r="F10" i="17"/>
  <c r="AB9" i="17"/>
  <c r="X9" i="17"/>
  <c r="W9" i="17"/>
  <c r="V9" i="17"/>
  <c r="T9" i="17"/>
  <c r="F9" i="17"/>
  <c r="E9" i="17"/>
  <c r="AC8" i="17"/>
  <c r="AB8" i="17"/>
  <c r="AA8" i="17"/>
  <c r="V8" i="17"/>
  <c r="T8" i="17"/>
  <c r="F8" i="17"/>
  <c r="AB7" i="17"/>
  <c r="AA7" i="17"/>
  <c r="V7" i="17"/>
  <c r="T7" i="17"/>
  <c r="AC6" i="17"/>
  <c r="AB6" i="17"/>
  <c r="AA6" i="17"/>
  <c r="X6" i="17"/>
  <c r="V6" i="17"/>
  <c r="T6" i="17"/>
  <c r="AB5" i="17"/>
  <c r="Y5" i="17"/>
  <c r="W5" i="17"/>
  <c r="V5" i="17"/>
  <c r="T5" i="17"/>
  <c r="W25" i="14"/>
  <c r="W25" i="13"/>
  <c r="C20" i="16"/>
  <c r="C19" i="16"/>
  <c r="F18" i="16"/>
  <c r="C18" i="16"/>
  <c r="F17" i="16"/>
  <c r="C17" i="16"/>
  <c r="C15" i="16" s="1"/>
  <c r="F16" i="16"/>
  <c r="C16" i="16"/>
  <c r="R6" i="16" s="1"/>
  <c r="F15" i="16"/>
  <c r="F14" i="16"/>
  <c r="F19" i="16" s="1"/>
  <c r="U10" i="16"/>
  <c r="L10" i="16"/>
  <c r="J10" i="16"/>
  <c r="F10" i="16"/>
  <c r="D10" i="16"/>
  <c r="W9" i="16"/>
  <c r="P9" i="16"/>
  <c r="W8" i="16"/>
  <c r="R8" i="16"/>
  <c r="P8" i="16"/>
  <c r="W7" i="16"/>
  <c r="P7" i="16"/>
  <c r="W6" i="16"/>
  <c r="P6" i="16"/>
  <c r="W5" i="16"/>
  <c r="P5" i="16"/>
  <c r="W4" i="16"/>
  <c r="R4" i="16"/>
  <c r="P4" i="16"/>
  <c r="W3" i="16"/>
  <c r="P3" i="16"/>
  <c r="P10" i="15"/>
  <c r="AE9" i="13" s="1"/>
  <c r="F10" i="15"/>
  <c r="D10" i="15"/>
  <c r="C20" i="15"/>
  <c r="C19" i="15"/>
  <c r="F18" i="15"/>
  <c r="C18" i="15"/>
  <c r="F17" i="15"/>
  <c r="C17" i="15"/>
  <c r="F16" i="15"/>
  <c r="C16" i="15"/>
  <c r="R9" i="15" s="1"/>
  <c r="F15" i="15"/>
  <c r="C15" i="15"/>
  <c r="F14" i="15"/>
  <c r="U10" i="15"/>
  <c r="L10" i="15"/>
  <c r="J10" i="15"/>
  <c r="W9" i="15"/>
  <c r="P9" i="15"/>
  <c r="W8" i="15"/>
  <c r="R8" i="15"/>
  <c r="P8" i="15"/>
  <c r="W7" i="15"/>
  <c r="R7" i="15"/>
  <c r="P7" i="15"/>
  <c r="W6" i="15"/>
  <c r="R6" i="15"/>
  <c r="P6" i="15"/>
  <c r="W5" i="15"/>
  <c r="P5" i="15"/>
  <c r="W4" i="15"/>
  <c r="R4" i="15"/>
  <c r="P4" i="15"/>
  <c r="W3" i="15"/>
  <c r="R3" i="15"/>
  <c r="P3" i="15"/>
  <c r="C37" i="14"/>
  <c r="AC32" i="14"/>
  <c r="W32" i="14"/>
  <c r="U32" i="14"/>
  <c r="AC31" i="14"/>
  <c r="W31" i="14"/>
  <c r="U31" i="14"/>
  <c r="AC30" i="14"/>
  <c r="W30" i="14"/>
  <c r="U30" i="14"/>
  <c r="AC29" i="14"/>
  <c r="W29" i="14"/>
  <c r="U29" i="14"/>
  <c r="AC28" i="14"/>
  <c r="W28" i="14"/>
  <c r="U28" i="14"/>
  <c r="G28" i="14"/>
  <c r="D28" i="14"/>
  <c r="D32" i="14" s="1"/>
  <c r="AC27" i="14"/>
  <c r="W27" i="14"/>
  <c r="U27" i="14"/>
  <c r="G27" i="14"/>
  <c r="AC26" i="14"/>
  <c r="W26" i="14"/>
  <c r="U26" i="14"/>
  <c r="G26" i="14"/>
  <c r="AC25" i="14"/>
  <c r="U25" i="14"/>
  <c r="G25" i="14"/>
  <c r="C25" i="14"/>
  <c r="C26" i="14" s="1"/>
  <c r="AC24" i="14"/>
  <c r="W24" i="14"/>
  <c r="U24" i="14"/>
  <c r="G24" i="14"/>
  <c r="AC23" i="14"/>
  <c r="W23" i="14"/>
  <c r="U23" i="14"/>
  <c r="G23" i="14"/>
  <c r="AC22" i="14"/>
  <c r="W22" i="14"/>
  <c r="U22" i="14"/>
  <c r="G22" i="14"/>
  <c r="C22" i="14"/>
  <c r="C23" i="14" s="1"/>
  <c r="AC21" i="14"/>
  <c r="W21" i="14"/>
  <c r="U21" i="14"/>
  <c r="G21" i="14"/>
  <c r="AC20" i="14"/>
  <c r="W20" i="14"/>
  <c r="U20" i="14"/>
  <c r="G20" i="14"/>
  <c r="AC19" i="14"/>
  <c r="W19" i="14"/>
  <c r="U19" i="14"/>
  <c r="G19" i="14"/>
  <c r="D19" i="14"/>
  <c r="AD29" i="14" s="1"/>
  <c r="AC18" i="14"/>
  <c r="W18" i="14"/>
  <c r="U18" i="14"/>
  <c r="G18" i="14"/>
  <c r="E18" i="14"/>
  <c r="AC17" i="14"/>
  <c r="W17" i="14"/>
  <c r="U17" i="14"/>
  <c r="G17" i="14"/>
  <c r="AC16" i="14"/>
  <c r="W16" i="14"/>
  <c r="U16" i="14"/>
  <c r="G16" i="14"/>
  <c r="E16" i="14"/>
  <c r="AD15" i="14"/>
  <c r="AC15" i="14"/>
  <c r="W15" i="14"/>
  <c r="U15" i="14"/>
  <c r="G15" i="14"/>
  <c r="D15" i="14"/>
  <c r="AB16" i="14" s="1"/>
  <c r="AC14" i="14"/>
  <c r="W14" i="14"/>
  <c r="U14" i="14"/>
  <c r="G14" i="14"/>
  <c r="D14" i="14"/>
  <c r="Z17" i="14" s="1"/>
  <c r="AC13" i="14"/>
  <c r="W13" i="14"/>
  <c r="U13" i="14"/>
  <c r="G13" i="14"/>
  <c r="D13" i="14"/>
  <c r="Y32" i="14" s="1"/>
  <c r="AD12" i="14"/>
  <c r="AC12" i="14"/>
  <c r="W12" i="14"/>
  <c r="U12" i="14"/>
  <c r="G12" i="14"/>
  <c r="D12" i="14"/>
  <c r="X31" i="14" s="1"/>
  <c r="AC11" i="14"/>
  <c r="W11" i="14"/>
  <c r="U11" i="14"/>
  <c r="G11" i="14"/>
  <c r="E11" i="14"/>
  <c r="AC10" i="14"/>
  <c r="W10" i="14"/>
  <c r="U10" i="14"/>
  <c r="G10" i="14"/>
  <c r="AC9" i="14"/>
  <c r="W9" i="14"/>
  <c r="U9" i="14"/>
  <c r="G9" i="14"/>
  <c r="E9" i="14"/>
  <c r="AD8" i="14"/>
  <c r="AC8" i="14"/>
  <c r="W8" i="14"/>
  <c r="U8" i="14"/>
  <c r="G8" i="14"/>
  <c r="AC7" i="14"/>
  <c r="AB7" i="14"/>
  <c r="W7" i="14"/>
  <c r="U7" i="14"/>
  <c r="AD6" i="14"/>
  <c r="AC6" i="14"/>
  <c r="AB6" i="14"/>
  <c r="Y6" i="14"/>
  <c r="W6" i="14"/>
  <c r="U6" i="14"/>
  <c r="AC5" i="14"/>
  <c r="W5" i="14"/>
  <c r="U5" i="14"/>
  <c r="C37" i="13"/>
  <c r="AC32" i="13"/>
  <c r="W32" i="13"/>
  <c r="U32" i="13"/>
  <c r="AC31" i="13"/>
  <c r="W31" i="13"/>
  <c r="U31" i="13"/>
  <c r="AC30" i="13"/>
  <c r="W30" i="13"/>
  <c r="U30" i="13"/>
  <c r="AC29" i="13"/>
  <c r="W29" i="13"/>
  <c r="U29" i="13"/>
  <c r="AC28" i="13"/>
  <c r="W28" i="13"/>
  <c r="U28" i="13"/>
  <c r="G28" i="13"/>
  <c r="D28" i="13"/>
  <c r="B34" i="13" s="1"/>
  <c r="AC27" i="13"/>
  <c r="W27" i="13"/>
  <c r="U27" i="13"/>
  <c r="G27" i="13"/>
  <c r="AC26" i="13"/>
  <c r="W26" i="13"/>
  <c r="U26" i="13"/>
  <c r="G26" i="13"/>
  <c r="AC25" i="13"/>
  <c r="U25" i="13"/>
  <c r="G25" i="13"/>
  <c r="C25" i="13"/>
  <c r="C26" i="13" s="1"/>
  <c r="AC24" i="13"/>
  <c r="W24" i="13"/>
  <c r="U24" i="13"/>
  <c r="G24" i="13"/>
  <c r="AC23" i="13"/>
  <c r="Y23" i="13"/>
  <c r="W23" i="13"/>
  <c r="U23" i="13"/>
  <c r="G23" i="13"/>
  <c r="AC22" i="13"/>
  <c r="W22" i="13"/>
  <c r="U22" i="13"/>
  <c r="G22" i="13"/>
  <c r="C22" i="13"/>
  <c r="C23" i="13" s="1"/>
  <c r="AC21" i="13"/>
  <c r="Y21" i="13"/>
  <c r="W21" i="13"/>
  <c r="U21" i="13"/>
  <c r="G21" i="13"/>
  <c r="AC20" i="13"/>
  <c r="W20" i="13"/>
  <c r="U20" i="13"/>
  <c r="G20" i="13"/>
  <c r="AC19" i="13"/>
  <c r="Y19" i="13"/>
  <c r="W19" i="13"/>
  <c r="U19" i="13"/>
  <c r="G19" i="13"/>
  <c r="D19" i="13"/>
  <c r="AD32" i="13" s="1"/>
  <c r="AD18" i="13"/>
  <c r="AC18" i="13"/>
  <c r="W18" i="13"/>
  <c r="U18" i="13"/>
  <c r="G18" i="13"/>
  <c r="E18" i="13"/>
  <c r="AC17" i="13"/>
  <c r="W17" i="13"/>
  <c r="U17" i="13"/>
  <c r="G17" i="13"/>
  <c r="AD16" i="13"/>
  <c r="AC16" i="13"/>
  <c r="W16" i="13"/>
  <c r="U16" i="13"/>
  <c r="G16" i="13"/>
  <c r="E16" i="13"/>
  <c r="AC15" i="13"/>
  <c r="W15" i="13"/>
  <c r="U15" i="13"/>
  <c r="G15" i="13"/>
  <c r="D15" i="13"/>
  <c r="AB26" i="13" s="1"/>
  <c r="AD14" i="13"/>
  <c r="AC14" i="13"/>
  <c r="W14" i="13"/>
  <c r="U14" i="13"/>
  <c r="G14" i="13"/>
  <c r="D14" i="13"/>
  <c r="Z26" i="13" s="1"/>
  <c r="AC13" i="13"/>
  <c r="W13" i="13"/>
  <c r="U13" i="13"/>
  <c r="G13" i="13"/>
  <c r="E13" i="13"/>
  <c r="D13" i="13"/>
  <c r="Y28" i="13" s="1"/>
  <c r="AC12" i="13"/>
  <c r="Y12" i="13"/>
  <c r="W12" i="13"/>
  <c r="U12" i="13"/>
  <c r="G12" i="13"/>
  <c r="D12" i="13"/>
  <c r="X17" i="13" s="1"/>
  <c r="AC11" i="13"/>
  <c r="W11" i="13"/>
  <c r="U11" i="13"/>
  <c r="G11" i="13"/>
  <c r="E11" i="13"/>
  <c r="AC10" i="13"/>
  <c r="W10" i="13"/>
  <c r="U10" i="13"/>
  <c r="G10" i="13"/>
  <c r="AC9" i="13"/>
  <c r="Y9" i="13"/>
  <c r="X9" i="13"/>
  <c r="W9" i="13"/>
  <c r="U9" i="13"/>
  <c r="G9" i="13"/>
  <c r="E9" i="13"/>
  <c r="AC8" i="13"/>
  <c r="Y8" i="13"/>
  <c r="W8" i="13"/>
  <c r="U8" i="13"/>
  <c r="G8" i="13"/>
  <c r="AC7" i="13"/>
  <c r="AB7" i="13"/>
  <c r="Y7" i="13"/>
  <c r="W7" i="13"/>
  <c r="U7" i="13"/>
  <c r="AC6" i="13"/>
  <c r="AB6" i="13"/>
  <c r="Y6" i="13"/>
  <c r="X6" i="13"/>
  <c r="W6" i="13"/>
  <c r="U6" i="13"/>
  <c r="AC5" i="13"/>
  <c r="AB5" i="13"/>
  <c r="Y5" i="13"/>
  <c r="W5" i="13"/>
  <c r="U5" i="13"/>
  <c r="AE9" i="18" l="1"/>
  <c r="AE21" i="18"/>
  <c r="AE8" i="18"/>
  <c r="AE19" i="18"/>
  <c r="AE10" i="18"/>
  <c r="AE22" i="18"/>
  <c r="AE11" i="18"/>
  <c r="AE23" i="18"/>
  <c r="AE12" i="18"/>
  <c r="AE24" i="18"/>
  <c r="AE13" i="18"/>
  <c r="AE25" i="18"/>
  <c r="AE14" i="18"/>
  <c r="AE26" i="18"/>
  <c r="AE15" i="18"/>
  <c r="AE27" i="18"/>
  <c r="AE31" i="18"/>
  <c r="AE16" i="18"/>
  <c r="AE28" i="18"/>
  <c r="AE30" i="18"/>
  <c r="AE17" i="18"/>
  <c r="AE29" i="18"/>
  <c r="AE18" i="18"/>
  <c r="AE20" i="18"/>
  <c r="AE32" i="18"/>
  <c r="V15" i="18"/>
  <c r="V11" i="18"/>
  <c r="V18" i="18"/>
  <c r="AQ18" i="18" s="1"/>
  <c r="V29" i="18"/>
  <c r="V31" i="18"/>
  <c r="V24" i="18"/>
  <c r="AQ24" i="18" s="1"/>
  <c r="V27" i="18"/>
  <c r="AQ27" i="18" s="1"/>
  <c r="V19" i="18"/>
  <c r="V16" i="18"/>
  <c r="AR16" i="18" s="1"/>
  <c r="V22" i="18"/>
  <c r="AQ22" i="18" s="1"/>
  <c r="V13" i="18"/>
  <c r="AQ13" i="18" s="1"/>
  <c r="V28" i="18"/>
  <c r="V10" i="18"/>
  <c r="AT10" i="18" s="1"/>
  <c r="V32" i="18"/>
  <c r="V30" i="18"/>
  <c r="AN30" i="18" s="1"/>
  <c r="V20" i="18"/>
  <c r="AT20" i="18" s="1"/>
  <c r="V14" i="18"/>
  <c r="AR14" i="18" s="1"/>
  <c r="V26" i="18"/>
  <c r="AT26" i="18" s="1"/>
  <c r="E10" i="18"/>
  <c r="V23" i="18"/>
  <c r="AK23" i="18" s="1"/>
  <c r="V9" i="18"/>
  <c r="V5" i="18"/>
  <c r="V25" i="18"/>
  <c r="AQ25" i="18" s="1"/>
  <c r="V12" i="18"/>
  <c r="AT12" i="18" s="1"/>
  <c r="V6" i="18"/>
  <c r="V21" i="18"/>
  <c r="AS21" i="18" s="1"/>
  <c r="V17" i="18"/>
  <c r="V7" i="18"/>
  <c r="V8" i="18"/>
  <c r="AT8" i="18" s="1"/>
  <c r="AN32" i="18"/>
  <c r="AN29" i="18"/>
  <c r="AS30" i="18"/>
  <c r="AR15" i="18"/>
  <c r="AK31" i="18"/>
  <c r="BB31" i="18" s="1"/>
  <c r="BH31" i="18" s="1"/>
  <c r="AR31" i="18"/>
  <c r="AQ11" i="18"/>
  <c r="AT29" i="18"/>
  <c r="AQ21" i="18"/>
  <c r="AR32" i="18"/>
  <c r="AT11" i="18"/>
  <c r="AJ31" i="18"/>
  <c r="BA31" i="18" s="1"/>
  <c r="BG31" i="18" s="1"/>
  <c r="AT31" i="18"/>
  <c r="AS15" i="18"/>
  <c r="AS31" i="18"/>
  <c r="AM31" i="18"/>
  <c r="AJ16" i="18"/>
  <c r="BA16" i="18" s="1"/>
  <c r="BG16" i="18" s="1"/>
  <c r="AN26" i="18"/>
  <c r="AK30" i="18"/>
  <c r="AT15" i="18"/>
  <c r="AJ19" i="18"/>
  <c r="AS28" i="18"/>
  <c r="AS26" i="18"/>
  <c r="AN31" i="18"/>
  <c r="BC31" i="18" s="1"/>
  <c r="BI31" i="18" s="1"/>
  <c r="AA22" i="18"/>
  <c r="AA13" i="18"/>
  <c r="AA28" i="18"/>
  <c r="AL28" i="18" s="1"/>
  <c r="AA32" i="18"/>
  <c r="AL32" i="18" s="1"/>
  <c r="AA30" i="18"/>
  <c r="AL30" i="18" s="1"/>
  <c r="AA20" i="18"/>
  <c r="AA14" i="18"/>
  <c r="AA23" i="18"/>
  <c r="AA26" i="18"/>
  <c r="AI26" i="18" s="1"/>
  <c r="AA18" i="18"/>
  <c r="AL18" i="18" s="1"/>
  <c r="AA29" i="18"/>
  <c r="AL29" i="18" s="1"/>
  <c r="AA21" i="18"/>
  <c r="AL21" i="18" s="1"/>
  <c r="AA31" i="18"/>
  <c r="AL31" i="18" s="1"/>
  <c r="AA27" i="18"/>
  <c r="AA19" i="18"/>
  <c r="AA16" i="18"/>
  <c r="AL16" i="18" s="1"/>
  <c r="AA12" i="18"/>
  <c r="AL12" i="18" s="1"/>
  <c r="AA15" i="18"/>
  <c r="AL15" i="18" s="1"/>
  <c r="AA17" i="18"/>
  <c r="AA8" i="18"/>
  <c r="AL8" i="18" s="1"/>
  <c r="AA10" i="18"/>
  <c r="AL10" i="18" s="1"/>
  <c r="AA25" i="18"/>
  <c r="AL25" i="18" s="1"/>
  <c r="AA9" i="18"/>
  <c r="AA24" i="18"/>
  <c r="AL24" i="18" s="1"/>
  <c r="E17" i="18"/>
  <c r="AA11" i="18"/>
  <c r="AL11" i="18" s="1"/>
  <c r="AJ26" i="18"/>
  <c r="AQ32" i="18"/>
  <c r="AQ29" i="18"/>
  <c r="AQ15" i="18"/>
  <c r="AJ32" i="18"/>
  <c r="BA32" i="18" s="1"/>
  <c r="BG32" i="18" s="1"/>
  <c r="AT32" i="18"/>
  <c r="AM32" i="18"/>
  <c r="AS32" i="18"/>
  <c r="AS24" i="18"/>
  <c r="AJ14" i="18"/>
  <c r="AQ30" i="18"/>
  <c r="AI30" i="18"/>
  <c r="AI31" i="18"/>
  <c r="AZ31" i="18" s="1"/>
  <c r="BF31" i="18" s="1"/>
  <c r="AQ31" i="18"/>
  <c r="AB11" i="13"/>
  <c r="E15" i="13"/>
  <c r="AE26" i="13"/>
  <c r="P42" i="13" s="1"/>
  <c r="X10" i="14"/>
  <c r="AD32" i="14"/>
  <c r="AE19" i="13"/>
  <c r="R3" i="16"/>
  <c r="R7" i="16"/>
  <c r="AB27" i="14"/>
  <c r="X8" i="17"/>
  <c r="X15" i="17"/>
  <c r="W10" i="16"/>
  <c r="AD10" i="14"/>
  <c r="X14" i="14"/>
  <c r="AE21" i="14"/>
  <c r="AE30" i="14"/>
  <c r="AE17" i="13"/>
  <c r="AB15" i="14"/>
  <c r="AC9" i="17"/>
  <c r="X11" i="17"/>
  <c r="AC12" i="17"/>
  <c r="AC18" i="17"/>
  <c r="AD9" i="13"/>
  <c r="AE16" i="14"/>
  <c r="AD13" i="13"/>
  <c r="AB17" i="13"/>
  <c r="AE8" i="13"/>
  <c r="AE15" i="13"/>
  <c r="Z28" i="14"/>
  <c r="W10" i="15"/>
  <c r="AE14" i="13"/>
  <c r="Z16" i="14"/>
  <c r="X17" i="17"/>
  <c r="AC24" i="17"/>
  <c r="AB10" i="13"/>
  <c r="Z24" i="13"/>
  <c r="AD30" i="14"/>
  <c r="AE27" i="13"/>
  <c r="AE13" i="13"/>
  <c r="X8" i="14"/>
  <c r="X5" i="17"/>
  <c r="X7" i="17"/>
  <c r="AE20" i="13"/>
  <c r="X10" i="17"/>
  <c r="AC17" i="17"/>
  <c r="AE18" i="13"/>
  <c r="P40" i="13" s="1"/>
  <c r="AB8" i="13"/>
  <c r="X5" i="14"/>
  <c r="X7" i="14"/>
  <c r="AE9" i="14"/>
  <c r="AD14" i="14"/>
  <c r="AD16" i="14"/>
  <c r="AE28" i="13"/>
  <c r="AD7" i="14"/>
  <c r="X11" i="14"/>
  <c r="Y19" i="14"/>
  <c r="AE22" i="14"/>
  <c r="AE24" i="13"/>
  <c r="AD12" i="13"/>
  <c r="AB14" i="13"/>
  <c r="Z20" i="13"/>
  <c r="AD9" i="14"/>
  <c r="AE23" i="13"/>
  <c r="AE10" i="13"/>
  <c r="AE20" i="14"/>
  <c r="AE21" i="13"/>
  <c r="AE23" i="14"/>
  <c r="AD6" i="13"/>
  <c r="AD5" i="14"/>
  <c r="Y9" i="14"/>
  <c r="AE25" i="13"/>
  <c r="AE12" i="13"/>
  <c r="R5" i="16"/>
  <c r="R10" i="16" s="1"/>
  <c r="R9" i="16"/>
  <c r="AD10" i="13"/>
  <c r="AE11" i="13"/>
  <c r="Y16" i="13"/>
  <c r="AB20" i="13"/>
  <c r="X6" i="14"/>
  <c r="AD11" i="14"/>
  <c r="AD13" i="14"/>
  <c r="AD17" i="14"/>
  <c r="AE32" i="14"/>
  <c r="R5" i="15"/>
  <c r="R10" i="15" s="1"/>
  <c r="AE22" i="13"/>
  <c r="P41" i="13" s="1"/>
  <c r="AC5" i="17"/>
  <c r="AC7" i="17"/>
  <c r="AC10" i="17"/>
  <c r="W13" i="17"/>
  <c r="X19" i="17"/>
  <c r="X23" i="17"/>
  <c r="X13" i="17"/>
  <c r="AC16" i="17"/>
  <c r="AC21" i="17"/>
  <c r="X25" i="17"/>
  <c r="B35" i="17"/>
  <c r="AE16" i="13"/>
  <c r="AO10" i="17"/>
  <c r="AP9" i="17"/>
  <c r="AP12" i="17"/>
  <c r="AP14" i="17"/>
  <c r="Y6" i="17"/>
  <c r="E15" i="17"/>
  <c r="AO28" i="17"/>
  <c r="AO26" i="17"/>
  <c r="Y26" i="17"/>
  <c r="AO9" i="17"/>
  <c r="W23" i="17"/>
  <c r="W6" i="17"/>
  <c r="W26" i="17"/>
  <c r="W15" i="17"/>
  <c r="W11" i="17"/>
  <c r="W7" i="17"/>
  <c r="W18" i="17"/>
  <c r="W8" i="17"/>
  <c r="W24" i="17"/>
  <c r="W21" i="17"/>
  <c r="D10" i="17"/>
  <c r="W27" i="17"/>
  <c r="W19" i="17"/>
  <c r="W16" i="17"/>
  <c r="W22" i="17"/>
  <c r="W25" i="17"/>
  <c r="W17" i="17"/>
  <c r="W28" i="17"/>
  <c r="AO15" i="17"/>
  <c r="AO25" i="17"/>
  <c r="Y8" i="17"/>
  <c r="AO19" i="17"/>
  <c r="AP10" i="17"/>
  <c r="AO20" i="17"/>
  <c r="AO24" i="17"/>
  <c r="Z5" i="17"/>
  <c r="Y9" i="17"/>
  <c r="AO11" i="17"/>
  <c r="W20" i="17"/>
  <c r="AO22" i="17"/>
  <c r="AO8" i="17"/>
  <c r="AO14" i="17"/>
  <c r="Z7" i="17"/>
  <c r="AO18" i="17"/>
  <c r="AO23" i="17"/>
  <c r="AO12" i="17"/>
  <c r="AO13" i="17"/>
  <c r="Y15" i="17"/>
  <c r="Y11" i="17"/>
  <c r="Y7" i="17"/>
  <c r="Y21" i="17"/>
  <c r="Y24" i="17"/>
  <c r="D17" i="17"/>
  <c r="Y12" i="17"/>
  <c r="Y27" i="17"/>
  <c r="Y19" i="17"/>
  <c r="Y16" i="17"/>
  <c r="E14" i="17"/>
  <c r="Y22" i="17"/>
  <c r="Y13" i="17"/>
  <c r="Y17" i="17"/>
  <c r="Y25" i="17"/>
  <c r="Y28" i="17"/>
  <c r="Y20" i="17"/>
  <c r="Y14" i="17"/>
  <c r="Z6" i="17"/>
  <c r="Y23" i="17"/>
  <c r="AO21" i="17"/>
  <c r="AO16" i="17"/>
  <c r="Y18" i="17"/>
  <c r="AO27" i="17"/>
  <c r="AP13" i="17"/>
  <c r="Q39" i="17" s="1"/>
  <c r="AA21" i="17"/>
  <c r="AA24" i="17"/>
  <c r="AA27" i="17"/>
  <c r="AA19" i="17"/>
  <c r="AA16" i="17"/>
  <c r="AA9" i="17"/>
  <c r="AA25" i="17"/>
  <c r="AA22" i="17"/>
  <c r="AA13" i="17"/>
  <c r="AA28" i="17"/>
  <c r="AA10" i="17"/>
  <c r="AA5" i="17"/>
  <c r="AA20" i="17"/>
  <c r="AA23" i="17"/>
  <c r="AA26" i="17"/>
  <c r="AO17" i="17"/>
  <c r="AA18" i="17"/>
  <c r="X28" i="17"/>
  <c r="X22" i="17"/>
  <c r="AC26" i="17"/>
  <c r="D31" i="17"/>
  <c r="AC23" i="17"/>
  <c r="D32" i="17"/>
  <c r="X27" i="17"/>
  <c r="X12" i="17"/>
  <c r="X24" i="17"/>
  <c r="AC28" i="17"/>
  <c r="X21" i="17"/>
  <c r="AC25" i="17"/>
  <c r="X18" i="17"/>
  <c r="AC22" i="17"/>
  <c r="AC19" i="17"/>
  <c r="B34" i="14"/>
  <c r="B35" i="14" s="1"/>
  <c r="AB26" i="14"/>
  <c r="AB14" i="14"/>
  <c r="Z27" i="14"/>
  <c r="Z15" i="14"/>
  <c r="AB25" i="14"/>
  <c r="AB13" i="14"/>
  <c r="Z26" i="14"/>
  <c r="Z14" i="14"/>
  <c r="Y11" i="14"/>
  <c r="Y14" i="14"/>
  <c r="Y26" i="14"/>
  <c r="X28" i="14"/>
  <c r="D31" i="14"/>
  <c r="AB24" i="14"/>
  <c r="AB12" i="14"/>
  <c r="Z25" i="14"/>
  <c r="Z13" i="14"/>
  <c r="X16" i="14"/>
  <c r="Y28" i="14"/>
  <c r="AB23" i="14"/>
  <c r="AB11" i="14"/>
  <c r="Z24" i="14"/>
  <c r="Z12" i="14"/>
  <c r="Y8" i="14"/>
  <c r="Y16" i="14"/>
  <c r="AD24" i="14"/>
  <c r="AD26" i="14"/>
  <c r="AB22" i="14"/>
  <c r="AB10" i="14"/>
  <c r="Z23" i="14"/>
  <c r="Z11" i="14"/>
  <c r="X13" i="14"/>
  <c r="Y18" i="14"/>
  <c r="AD20" i="14"/>
  <c r="AD22" i="14"/>
  <c r="AD28" i="14"/>
  <c r="Y31" i="14"/>
  <c r="AB8" i="14"/>
  <c r="AB21" i="14"/>
  <c r="AB9" i="14"/>
  <c r="Z22" i="14"/>
  <c r="Z10" i="14"/>
  <c r="Y10" i="14"/>
  <c r="E12" i="14"/>
  <c r="Y13" i="14"/>
  <c r="AB32" i="14"/>
  <c r="AB20" i="14"/>
  <c r="Z8" i="14"/>
  <c r="Z21" i="14"/>
  <c r="Z9" i="14"/>
  <c r="Y5" i="14"/>
  <c r="AB31" i="14"/>
  <c r="AB19" i="14"/>
  <c r="Z32" i="14"/>
  <c r="Z20" i="14"/>
  <c r="Y7" i="14"/>
  <c r="Y25" i="14"/>
  <c r="Y27" i="14"/>
  <c r="Y29" i="14"/>
  <c r="AB30" i="14"/>
  <c r="AB18" i="14"/>
  <c r="Z31" i="14"/>
  <c r="Z19" i="14"/>
  <c r="X21" i="14"/>
  <c r="X23" i="14"/>
  <c r="AB29" i="14"/>
  <c r="AB17" i="14"/>
  <c r="Z30" i="14"/>
  <c r="Z18" i="14"/>
  <c r="Y12" i="14"/>
  <c r="Y17" i="14"/>
  <c r="Y21" i="14"/>
  <c r="Y23" i="14"/>
  <c r="AB28" i="14"/>
  <c r="Z29" i="14"/>
  <c r="P10" i="16"/>
  <c r="AE24" i="14" s="1"/>
  <c r="Z10" i="13"/>
  <c r="Z28" i="13"/>
  <c r="Z13" i="13"/>
  <c r="AD7" i="13"/>
  <c r="Z9" i="13"/>
  <c r="Z12" i="13"/>
  <c r="E14" i="13"/>
  <c r="AD22" i="13"/>
  <c r="AD24" i="13"/>
  <c r="AD29" i="13"/>
  <c r="X5" i="13"/>
  <c r="Y15" i="13"/>
  <c r="Z6" i="13"/>
  <c r="AD27" i="13"/>
  <c r="Z5" i="13"/>
  <c r="D10" i="13"/>
  <c r="Z11" i="13"/>
  <c r="B35" i="13"/>
  <c r="Z8" i="13"/>
  <c r="Z14" i="13"/>
  <c r="AD15" i="13"/>
  <c r="Z15" i="13"/>
  <c r="Z19" i="13"/>
  <c r="AD8" i="13"/>
  <c r="Z21" i="13"/>
  <c r="AD5" i="13"/>
  <c r="Z7" i="13"/>
  <c r="AD11" i="13"/>
  <c r="AD23" i="13"/>
  <c r="F19" i="15"/>
  <c r="E14" i="14"/>
  <c r="Z5" i="14"/>
  <c r="D17" i="14"/>
  <c r="X18" i="14"/>
  <c r="AB5" i="14"/>
  <c r="X26" i="14"/>
  <c r="X17" i="14"/>
  <c r="D10" i="14"/>
  <c r="V25" i="14" s="1"/>
  <c r="X32" i="14"/>
  <c r="X30" i="14"/>
  <c r="X24" i="14"/>
  <c r="X9" i="14"/>
  <c r="X22" i="14"/>
  <c r="X15" i="14"/>
  <c r="X12" i="14"/>
  <c r="X20" i="14"/>
  <c r="X19" i="14"/>
  <c r="X27" i="14"/>
  <c r="X29" i="14"/>
  <c r="E15" i="14"/>
  <c r="X25" i="14"/>
  <c r="Z7" i="14"/>
  <c r="Z6" i="14"/>
  <c r="AD19" i="14"/>
  <c r="AD21" i="14"/>
  <c r="E19" i="14"/>
  <c r="Y20" i="14"/>
  <c r="Y15" i="14"/>
  <c r="Y22" i="14"/>
  <c r="AD23" i="14"/>
  <c r="Y24" i="14"/>
  <c r="AD25" i="14"/>
  <c r="AD31" i="14"/>
  <c r="E13" i="14"/>
  <c r="AD18" i="14"/>
  <c r="AD27" i="14"/>
  <c r="Y30" i="14"/>
  <c r="X31" i="13"/>
  <c r="X25" i="13"/>
  <c r="X21" i="13"/>
  <c r="X19" i="13"/>
  <c r="X28" i="13"/>
  <c r="X14" i="13"/>
  <c r="X11" i="13"/>
  <c r="X26" i="13"/>
  <c r="X32" i="13"/>
  <c r="X30" i="13"/>
  <c r="X24" i="13"/>
  <c r="X22" i="13"/>
  <c r="X15" i="13"/>
  <c r="X12" i="13"/>
  <c r="X20" i="13"/>
  <c r="X29" i="13"/>
  <c r="X27" i="13"/>
  <c r="X18" i="13"/>
  <c r="X10" i="13"/>
  <c r="X16" i="13"/>
  <c r="X23" i="13"/>
  <c r="E12" i="13"/>
  <c r="X8" i="13"/>
  <c r="X7" i="13"/>
  <c r="X13" i="13"/>
  <c r="V31" i="13"/>
  <c r="AP31" i="13" s="1"/>
  <c r="V23" i="13"/>
  <c r="AU23" i="13" s="1"/>
  <c r="V15" i="13"/>
  <c r="AU15" i="13" s="1"/>
  <c r="AB28" i="13"/>
  <c r="AB32" i="13"/>
  <c r="AB30" i="13"/>
  <c r="AB24" i="13"/>
  <c r="AB9" i="13"/>
  <c r="AB22" i="13"/>
  <c r="AB15" i="13"/>
  <c r="AB12" i="13"/>
  <c r="AB29" i="13"/>
  <c r="AB27" i="13"/>
  <c r="AB18" i="13"/>
  <c r="AB31" i="13"/>
  <c r="AB25" i="13"/>
  <c r="AB13" i="13"/>
  <c r="AB23" i="13"/>
  <c r="AB16" i="13"/>
  <c r="AB21" i="13"/>
  <c r="AB19" i="13"/>
  <c r="Y13" i="13"/>
  <c r="Z16" i="13"/>
  <c r="D17" i="13"/>
  <c r="AD17" i="13"/>
  <c r="Z23" i="13"/>
  <c r="Y25" i="13"/>
  <c r="AD26" i="13"/>
  <c r="Y31" i="13"/>
  <c r="Y10" i="13"/>
  <c r="Y18" i="13"/>
  <c r="Z25" i="13"/>
  <c r="Y27" i="13"/>
  <c r="AD28" i="13"/>
  <c r="Y29" i="13"/>
  <c r="Z31" i="13"/>
  <c r="D32" i="13"/>
  <c r="Z18" i="13"/>
  <c r="AD19" i="13"/>
  <c r="AD21" i="13"/>
  <c r="Z27" i="13"/>
  <c r="Z29" i="13"/>
  <c r="E19" i="13"/>
  <c r="Y20" i="13"/>
  <c r="Y22" i="13"/>
  <c r="Z22" i="13"/>
  <c r="Y24" i="13"/>
  <c r="AD25" i="13"/>
  <c r="AD31" i="13"/>
  <c r="Y30" i="13"/>
  <c r="Y32" i="13"/>
  <c r="Y17" i="13"/>
  <c r="Y26" i="13"/>
  <c r="Z30" i="13"/>
  <c r="D31" i="13"/>
  <c r="Z32" i="13"/>
  <c r="Y11" i="13"/>
  <c r="Y14" i="13"/>
  <c r="Z17" i="13"/>
  <c r="AD20" i="13"/>
  <c r="AD30" i="13"/>
  <c r="P38" i="13" l="1"/>
  <c r="BA19" i="18"/>
  <c r="BG19" i="18" s="1"/>
  <c r="AE34" i="18"/>
  <c r="BC29" i="18"/>
  <c r="BI29" i="18" s="1"/>
  <c r="P40" i="18"/>
  <c r="P39" i="18"/>
  <c r="AZ30" i="18"/>
  <c r="BF30" i="18" s="1"/>
  <c r="BB23" i="18"/>
  <c r="BH23" i="18" s="1"/>
  <c r="BC32" i="18"/>
  <c r="BI32" i="18" s="1"/>
  <c r="BA14" i="18"/>
  <c r="BG14" i="18" s="1"/>
  <c r="P41" i="18"/>
  <c r="BC30" i="18"/>
  <c r="BI30" i="18" s="1"/>
  <c r="BB30" i="18"/>
  <c r="BH30" i="18" s="1"/>
  <c r="P42" i="18"/>
  <c r="P38" i="18"/>
  <c r="AL27" i="18"/>
  <c r="AM26" i="18"/>
  <c r="AL26" i="18"/>
  <c r="AQ26" i="18"/>
  <c r="R42" i="18" s="1"/>
  <c r="AR24" i="18"/>
  <c r="AQ23" i="18"/>
  <c r="AL22" i="18"/>
  <c r="AI22" i="18"/>
  <c r="AZ22" i="18" s="1"/>
  <c r="BF22" i="18" s="1"/>
  <c r="AJ22" i="18"/>
  <c r="BA22" i="18" s="1"/>
  <c r="BG22" i="18" s="1"/>
  <c r="AT21" i="18"/>
  <c r="AN19" i="18"/>
  <c r="BC19" i="18" s="1"/>
  <c r="BI19" i="18" s="1"/>
  <c r="AR19" i="18"/>
  <c r="AL19" i="18"/>
  <c r="AK19" i="18"/>
  <c r="BB19" i="18" s="1"/>
  <c r="BH19" i="18" s="1"/>
  <c r="AI18" i="18"/>
  <c r="AK16" i="18"/>
  <c r="BB16" i="18" s="1"/>
  <c r="BH16" i="18" s="1"/>
  <c r="AL13" i="18"/>
  <c r="AQ12" i="18"/>
  <c r="R38" i="18" s="1"/>
  <c r="AQ10" i="18"/>
  <c r="AL9" i="18"/>
  <c r="AJ25" i="18"/>
  <c r="BA25" i="18" s="1"/>
  <c r="BG25" i="18" s="1"/>
  <c r="AT14" i="18"/>
  <c r="AQ20" i="18"/>
  <c r="AN25" i="18"/>
  <c r="BC25" i="18" s="1"/>
  <c r="BI25" i="18" s="1"/>
  <c r="AJ18" i="18"/>
  <c r="BA18" i="18" s="1"/>
  <c r="BG18" i="18" s="1"/>
  <c r="AJ15" i="18"/>
  <c r="BA15" i="18" s="1"/>
  <c r="BG15" i="18" s="1"/>
  <c r="AL20" i="18"/>
  <c r="AJ17" i="18"/>
  <c r="BA17" i="18" s="1"/>
  <c r="BG17" i="18" s="1"/>
  <c r="AS25" i="18"/>
  <c r="AS13" i="18"/>
  <c r="AR20" i="18"/>
  <c r="AK14" i="18"/>
  <c r="BB14" i="18" s="1"/>
  <c r="BH14" i="18" s="1"/>
  <c r="AM17" i="18"/>
  <c r="AN20" i="18"/>
  <c r="BC20" i="18" s="1"/>
  <c r="BI20" i="18" s="1"/>
  <c r="AT18" i="18"/>
  <c r="AM15" i="18"/>
  <c r="AS20" i="18"/>
  <c r="S42" i="18"/>
  <c r="AJ27" i="18"/>
  <c r="BA27" i="18" s="1"/>
  <c r="BG27" i="18" s="1"/>
  <c r="AJ30" i="18"/>
  <c r="BA30" i="18" s="1"/>
  <c r="BG30" i="18" s="1"/>
  <c r="AR18" i="18"/>
  <c r="BJ12" i="18"/>
  <c r="BK12" i="18" s="1"/>
  <c r="AG12" i="18"/>
  <c r="AO12" i="18"/>
  <c r="AH12" i="18"/>
  <c r="AY12" i="18" s="1"/>
  <c r="BE12" i="18" s="1"/>
  <c r="AM12" i="18"/>
  <c r="AR12" i="18"/>
  <c r="AS12" i="18"/>
  <c r="AK12" i="18"/>
  <c r="BB12" i="18" s="1"/>
  <c r="BH12" i="18" s="1"/>
  <c r="AP12" i="18"/>
  <c r="AN12" i="18"/>
  <c r="BC12" i="18" s="1"/>
  <c r="BI12" i="18" s="1"/>
  <c r="AO28" i="18"/>
  <c r="BJ28" i="18"/>
  <c r="BK28" i="18" s="1"/>
  <c r="AG28" i="18"/>
  <c r="AN28" i="18"/>
  <c r="BC28" i="18" s="1"/>
  <c r="BI28" i="18" s="1"/>
  <c r="AH28" i="18"/>
  <c r="AY28" i="18" s="1"/>
  <c r="BE28" i="18" s="1"/>
  <c r="AP28" i="18"/>
  <c r="AJ10" i="18"/>
  <c r="BA10" i="18" s="1"/>
  <c r="BG10" i="18" s="1"/>
  <c r="BA26" i="18"/>
  <c r="BG26" i="18" s="1"/>
  <c r="AI12" i="18"/>
  <c r="AZ12" i="18" s="1"/>
  <c r="BF12" i="18" s="1"/>
  <c r="AJ11" i="18"/>
  <c r="BA11" i="18" s="1"/>
  <c r="BG11" i="18" s="1"/>
  <c r="AI17" i="18"/>
  <c r="AZ17" i="18" s="1"/>
  <c r="BF17" i="18" s="1"/>
  <c r="AO25" i="18"/>
  <c r="BJ25" i="18"/>
  <c r="BK25" i="18" s="1"/>
  <c r="AH25" i="18"/>
  <c r="AY25" i="18" s="1"/>
  <c r="BE25" i="18" s="1"/>
  <c r="AG25" i="18"/>
  <c r="AP25" i="18"/>
  <c r="AO13" i="18"/>
  <c r="AG13" i="18"/>
  <c r="AH13" i="18"/>
  <c r="BJ13" i="18"/>
  <c r="BK13" i="18" s="1"/>
  <c r="AJ13" i="18"/>
  <c r="AT13" i="18"/>
  <c r="AK13" i="18"/>
  <c r="AR13" i="18"/>
  <c r="S41" i="18" s="1"/>
  <c r="AP13" i="18"/>
  <c r="AN13" i="18"/>
  <c r="AR17" i="18"/>
  <c r="U38" i="18"/>
  <c r="AI29" i="18"/>
  <c r="AZ29" i="18" s="1"/>
  <c r="BF29" i="18" s="1"/>
  <c r="AK15" i="18"/>
  <c r="BB15" i="18" s="1"/>
  <c r="BH15" i="18" s="1"/>
  <c r="AM30" i="18"/>
  <c r="AQ17" i="18"/>
  <c r="AO22" i="18"/>
  <c r="BJ22" i="18"/>
  <c r="BK22" i="18" s="1"/>
  <c r="AG22" i="18"/>
  <c r="AM22" i="18"/>
  <c r="AH22" i="18"/>
  <c r="AR22" i="18"/>
  <c r="AK22" i="18"/>
  <c r="AS22" i="18"/>
  <c r="AP22" i="18"/>
  <c r="AN22" i="18"/>
  <c r="AK17" i="18"/>
  <c r="BB17" i="18" s="1"/>
  <c r="BH17" i="18" s="1"/>
  <c r="AM21" i="18"/>
  <c r="AM24" i="18"/>
  <c r="AZ26" i="18"/>
  <c r="BF26" i="18" s="1"/>
  <c r="BC26" i="18"/>
  <c r="BI26" i="18" s="1"/>
  <c r="AI25" i="18"/>
  <c r="AZ25" i="18" s="1"/>
  <c r="BF25" i="18" s="1"/>
  <c r="AI20" i="18"/>
  <c r="AZ20" i="18" s="1"/>
  <c r="BF20" i="18" s="1"/>
  <c r="AN9" i="18"/>
  <c r="AG9" i="18"/>
  <c r="BJ9" i="18"/>
  <c r="BK9" i="18" s="1"/>
  <c r="AP9" i="18"/>
  <c r="AO9" i="18"/>
  <c r="AM9" i="18"/>
  <c r="AK9" i="18"/>
  <c r="AR9" i="18"/>
  <c r="AQ9" i="18"/>
  <c r="AH9" i="18"/>
  <c r="AI9" i="18"/>
  <c r="AT9" i="18"/>
  <c r="AJ9" i="18"/>
  <c r="AS9" i="18"/>
  <c r="BJ16" i="18"/>
  <c r="BK16" i="18" s="1"/>
  <c r="AG16" i="18"/>
  <c r="AO16" i="18"/>
  <c r="AH16" i="18"/>
  <c r="AY16" i="18" s="1"/>
  <c r="BE16" i="18" s="1"/>
  <c r="AI16" i="18"/>
  <c r="AZ16" i="18" s="1"/>
  <c r="BF16" i="18" s="1"/>
  <c r="AQ16" i="18"/>
  <c r="AN16" i="18"/>
  <c r="BC16" i="18" s="1"/>
  <c r="BI16" i="18" s="1"/>
  <c r="AM16" i="18"/>
  <c r="AS16" i="18"/>
  <c r="AP16" i="18"/>
  <c r="AM13" i="18"/>
  <c r="AN21" i="18"/>
  <c r="BC21" i="18" s="1"/>
  <c r="BI21" i="18" s="1"/>
  <c r="AI13" i="18"/>
  <c r="AG23" i="18"/>
  <c r="AO23" i="18"/>
  <c r="BJ23" i="18"/>
  <c r="BK23" i="18" s="1"/>
  <c r="AP23" i="18"/>
  <c r="AH23" i="18"/>
  <c r="AY23" i="18" s="1"/>
  <c r="BE23" i="18" s="1"/>
  <c r="AN23" i="18"/>
  <c r="BC23" i="18" s="1"/>
  <c r="BI23" i="18" s="1"/>
  <c r="BJ19" i="18"/>
  <c r="BK19" i="18" s="1"/>
  <c r="AG19" i="18"/>
  <c r="AO19" i="18"/>
  <c r="AP19" i="18"/>
  <c r="AM19" i="18"/>
  <c r="AI19" i="18"/>
  <c r="AZ19" i="18" s="1"/>
  <c r="BF19" i="18" s="1"/>
  <c r="AS19" i="18"/>
  <c r="AQ19" i="18"/>
  <c r="AH19" i="18"/>
  <c r="AY19" i="18" s="1"/>
  <c r="BE19" i="18" s="1"/>
  <c r="AI32" i="18"/>
  <c r="AZ32" i="18" s="1"/>
  <c r="BF32" i="18" s="1"/>
  <c r="AT19" i="18"/>
  <c r="AI27" i="18"/>
  <c r="AZ27" i="18" s="1"/>
  <c r="BF27" i="18" s="1"/>
  <c r="AK32" i="18"/>
  <c r="BB32" i="18" s="1"/>
  <c r="BH32" i="18" s="1"/>
  <c r="AR23" i="18"/>
  <c r="AT17" i="18"/>
  <c r="AT28" i="18"/>
  <c r="BJ27" i="18"/>
  <c r="BK27" i="18" s="1"/>
  <c r="AG27" i="18"/>
  <c r="AO27" i="18"/>
  <c r="AP27" i="18"/>
  <c r="AK27" i="18"/>
  <c r="BB27" i="18" s="1"/>
  <c r="BH27" i="18" s="1"/>
  <c r="AS27" i="18"/>
  <c r="AH27" i="18"/>
  <c r="AY27" i="18" s="1"/>
  <c r="BE27" i="18" s="1"/>
  <c r="AM27" i="18"/>
  <c r="AR27" i="18"/>
  <c r="AN27" i="18"/>
  <c r="BC27" i="18" s="1"/>
  <c r="BI27" i="18" s="1"/>
  <c r="AM20" i="18"/>
  <c r="AT25" i="18"/>
  <c r="AM23" i="18"/>
  <c r="AJ28" i="18"/>
  <c r="BA28" i="18" s="1"/>
  <c r="BG28" i="18" s="1"/>
  <c r="AG26" i="18"/>
  <c r="AO26" i="18"/>
  <c r="BJ26" i="18"/>
  <c r="BK26" i="18" s="1"/>
  <c r="AH26" i="18"/>
  <c r="AP26" i="18"/>
  <c r="AR26" i="18"/>
  <c r="AK26" i="18"/>
  <c r="BJ24" i="18"/>
  <c r="BK24" i="18" s="1"/>
  <c r="AG24" i="18"/>
  <c r="AO24" i="18"/>
  <c r="AN24" i="18"/>
  <c r="BC24" i="18" s="1"/>
  <c r="BI24" i="18" s="1"/>
  <c r="AH24" i="18"/>
  <c r="AY24" i="18" s="1"/>
  <c r="BE24" i="18" s="1"/>
  <c r="AP24" i="18"/>
  <c r="AJ24" i="18"/>
  <c r="BA24" i="18" s="1"/>
  <c r="BG24" i="18" s="1"/>
  <c r="AR25" i="18"/>
  <c r="G38" i="18"/>
  <c r="AZ18" i="18"/>
  <c r="BF18" i="18" s="1"/>
  <c r="AS23" i="18"/>
  <c r="AO8" i="18"/>
  <c r="AN8" i="18"/>
  <c r="BC8" i="18" s="1"/>
  <c r="BI8" i="18" s="1"/>
  <c r="BJ8" i="18"/>
  <c r="BK8" i="18" s="1"/>
  <c r="AH8" i="18"/>
  <c r="AY8" i="18" s="1"/>
  <c r="BE8" i="18" s="1"/>
  <c r="AI8" i="18"/>
  <c r="AZ8" i="18" s="1"/>
  <c r="BF8" i="18" s="1"/>
  <c r="AS8" i="18"/>
  <c r="AG8" i="18"/>
  <c r="AP8" i="18"/>
  <c r="AK8" i="18"/>
  <c r="BB8" i="18" s="1"/>
  <c r="BH8" i="18" s="1"/>
  <c r="AQ8" i="18"/>
  <c r="AR8" i="18"/>
  <c r="AM8" i="18"/>
  <c r="AN14" i="18"/>
  <c r="BC14" i="18" s="1"/>
  <c r="BI14" i="18" s="1"/>
  <c r="BJ14" i="18"/>
  <c r="BK14" i="18" s="1"/>
  <c r="AG14" i="18"/>
  <c r="AP14" i="18"/>
  <c r="AO14" i="18"/>
  <c r="AH14" i="18"/>
  <c r="AY14" i="18" s="1"/>
  <c r="BE14" i="18" s="1"/>
  <c r="AQ14" i="18"/>
  <c r="R39" i="18" s="1"/>
  <c r="AI14" i="18"/>
  <c r="AZ14" i="18" s="1"/>
  <c r="BF14" i="18" s="1"/>
  <c r="AM14" i="18"/>
  <c r="AS14" i="18"/>
  <c r="BJ31" i="18"/>
  <c r="BK31" i="18" s="1"/>
  <c r="AG31" i="18"/>
  <c r="AO31" i="18"/>
  <c r="AW31" i="18" s="1"/>
  <c r="AX31" i="18" s="1"/>
  <c r="BD31" i="18" s="1"/>
  <c r="AP31" i="18"/>
  <c r="AH31" i="18"/>
  <c r="AY31" i="18" s="1"/>
  <c r="BE31" i="18" s="1"/>
  <c r="AV31" i="18"/>
  <c r="AT24" i="18"/>
  <c r="AK25" i="18"/>
  <c r="BB25" i="18" s="1"/>
  <c r="BH25" i="18" s="1"/>
  <c r="AI24" i="18"/>
  <c r="AZ24" i="18" s="1"/>
  <c r="BF24" i="18" s="1"/>
  <c r="AT16" i="18"/>
  <c r="AJ20" i="18"/>
  <c r="BA20" i="18" s="1"/>
  <c r="BG20" i="18" s="1"/>
  <c r="AM25" i="18"/>
  <c r="AJ21" i="18"/>
  <c r="BA21" i="18" s="1"/>
  <c r="BG21" i="18" s="1"/>
  <c r="AO20" i="18"/>
  <c r="BJ20" i="18"/>
  <c r="BK20" i="18" s="1"/>
  <c r="AG20" i="18"/>
  <c r="AP20" i="18"/>
  <c r="AH20" i="18"/>
  <c r="AY20" i="18" s="1"/>
  <c r="BE20" i="18" s="1"/>
  <c r="BJ29" i="18"/>
  <c r="BK29" i="18" s="1"/>
  <c r="AV29" i="18"/>
  <c r="AG29" i="18"/>
  <c r="AO29" i="18"/>
  <c r="AW29" i="18" s="1"/>
  <c r="AX29" i="18" s="1"/>
  <c r="BD29" i="18" s="1"/>
  <c r="AP29" i="18"/>
  <c r="AK29" i="18"/>
  <c r="BB29" i="18" s="1"/>
  <c r="BH29" i="18" s="1"/>
  <c r="AH29" i="18"/>
  <c r="AY29" i="18" s="1"/>
  <c r="BE29" i="18" s="1"/>
  <c r="AR29" i="18"/>
  <c r="AK20" i="18"/>
  <c r="BB20" i="18" s="1"/>
  <c r="BH20" i="18" s="1"/>
  <c r="AI10" i="18"/>
  <c r="AZ10" i="18" s="1"/>
  <c r="BF10" i="18" s="1"/>
  <c r="R41" i="18"/>
  <c r="AT23" i="18"/>
  <c r="AJ29" i="18"/>
  <c r="BA29" i="18" s="1"/>
  <c r="BG29" i="18" s="1"/>
  <c r="AO17" i="18"/>
  <c r="AG17" i="18"/>
  <c r="AN17" i="18"/>
  <c r="BC17" i="18" s="1"/>
  <c r="BI17" i="18" s="1"/>
  <c r="AP17" i="18"/>
  <c r="AH17" i="18"/>
  <c r="AY17" i="18" s="1"/>
  <c r="BE17" i="18" s="1"/>
  <c r="AO30" i="18"/>
  <c r="AW30" i="18" s="1"/>
  <c r="AX30" i="18" s="1"/>
  <c r="BD30" i="18" s="1"/>
  <c r="BJ30" i="18"/>
  <c r="BK30" i="18" s="1"/>
  <c r="AH30" i="18"/>
  <c r="AY30" i="18" s="1"/>
  <c r="BE30" i="18" s="1"/>
  <c r="AG30" i="18"/>
  <c r="AP30" i="18"/>
  <c r="AV30" i="18"/>
  <c r="AG18" i="18"/>
  <c r="BJ18" i="18"/>
  <c r="BK18" i="18" s="1"/>
  <c r="AO18" i="18"/>
  <c r="AH18" i="18"/>
  <c r="AP18" i="18"/>
  <c r="AM18" i="18"/>
  <c r="AS18" i="18"/>
  <c r="AN18" i="18"/>
  <c r="AI15" i="18"/>
  <c r="AZ15" i="18" s="1"/>
  <c r="BF15" i="18" s="1"/>
  <c r="AM28" i="18"/>
  <c r="AR30" i="18"/>
  <c r="AJ8" i="18"/>
  <c r="BA8" i="18" s="1"/>
  <c r="BG8" i="18" s="1"/>
  <c r="AR28" i="18"/>
  <c r="AG21" i="18"/>
  <c r="AO21" i="18"/>
  <c r="BJ21" i="18"/>
  <c r="BK21" i="18" s="1"/>
  <c r="AP21" i="18"/>
  <c r="AH21" i="18"/>
  <c r="AY21" i="18" s="1"/>
  <c r="BE21" i="18" s="1"/>
  <c r="AK21" i="18"/>
  <c r="BB21" i="18" s="1"/>
  <c r="BH21" i="18" s="1"/>
  <c r="AR21" i="18"/>
  <c r="AO32" i="18"/>
  <c r="BJ32" i="18"/>
  <c r="BK32" i="18" s="1"/>
  <c r="AG32" i="18"/>
  <c r="AW32" i="18" s="1"/>
  <c r="AX32" i="18" s="1"/>
  <c r="BD32" i="18" s="1"/>
  <c r="AP32" i="18"/>
  <c r="AV32" i="18"/>
  <c r="AH32" i="18"/>
  <c r="AY32" i="18" s="1"/>
  <c r="BE32" i="18" s="1"/>
  <c r="AO11" i="18"/>
  <c r="BJ11" i="18"/>
  <c r="BK11" i="18" s="1"/>
  <c r="AS11" i="18"/>
  <c r="AR11" i="18"/>
  <c r="AK11" i="18"/>
  <c r="BB11" i="18" s="1"/>
  <c r="BH11" i="18" s="1"/>
  <c r="AG11" i="18"/>
  <c r="AN11" i="18"/>
  <c r="BC11" i="18" s="1"/>
  <c r="BI11" i="18" s="1"/>
  <c r="AM11" i="18"/>
  <c r="AH11" i="18"/>
  <c r="AY11" i="18" s="1"/>
  <c r="BE11" i="18" s="1"/>
  <c r="AP11" i="18"/>
  <c r="AI28" i="18"/>
  <c r="AZ28" i="18" s="1"/>
  <c r="BF28" i="18" s="1"/>
  <c r="AM29" i="18"/>
  <c r="AI23" i="18"/>
  <c r="AZ23" i="18" s="1"/>
  <c r="BF23" i="18" s="1"/>
  <c r="AL23" i="18"/>
  <c r="AJ23" i="18"/>
  <c r="BA23" i="18" s="1"/>
  <c r="BG23" i="18" s="1"/>
  <c r="AJ12" i="18"/>
  <c r="BA12" i="18" s="1"/>
  <c r="BG12" i="18" s="1"/>
  <c r="AT27" i="18"/>
  <c r="AL17" i="18"/>
  <c r="AL14" i="18"/>
  <c r="AT30" i="18"/>
  <c r="AS17" i="18"/>
  <c r="AK24" i="18"/>
  <c r="BB24" i="18" s="1"/>
  <c r="BH24" i="18" s="1"/>
  <c r="AT22" i="18"/>
  <c r="AI21" i="18"/>
  <c r="AZ21" i="18" s="1"/>
  <c r="BF21" i="18" s="1"/>
  <c r="AI11" i="18"/>
  <c r="AZ11" i="18" s="1"/>
  <c r="BF11" i="18" s="1"/>
  <c r="AK18" i="18"/>
  <c r="AK28" i="18"/>
  <c r="BB28" i="18" s="1"/>
  <c r="BH28" i="18" s="1"/>
  <c r="BJ10" i="18"/>
  <c r="BK10" i="18" s="1"/>
  <c r="AO10" i="18"/>
  <c r="AG10" i="18"/>
  <c r="AM10" i="18"/>
  <c r="AK10" i="18"/>
  <c r="BB10" i="18" s="1"/>
  <c r="BH10" i="18" s="1"/>
  <c r="AR10" i="18"/>
  <c r="AS10" i="18"/>
  <c r="AP10" i="18"/>
  <c r="AN10" i="18"/>
  <c r="BC10" i="18" s="1"/>
  <c r="BI10" i="18" s="1"/>
  <c r="AH10" i="18"/>
  <c r="AY10" i="18" s="1"/>
  <c r="BE10" i="18" s="1"/>
  <c r="AO15" i="18"/>
  <c r="BJ15" i="18"/>
  <c r="BK15" i="18" s="1"/>
  <c r="AN15" i="18"/>
  <c r="BC15" i="18" s="1"/>
  <c r="BI15" i="18" s="1"/>
  <c r="AG15" i="18"/>
  <c r="AP15" i="18"/>
  <c r="AH15" i="18"/>
  <c r="AY15" i="18" s="1"/>
  <c r="BE15" i="18" s="1"/>
  <c r="AQ28" i="18"/>
  <c r="AS29" i="18"/>
  <c r="AE15" i="14"/>
  <c r="AE29" i="14"/>
  <c r="AE10" i="14"/>
  <c r="P38" i="14" s="1"/>
  <c r="V21" i="13"/>
  <c r="AU21" i="13" s="1"/>
  <c r="V25" i="13"/>
  <c r="AU25" i="13" s="1"/>
  <c r="V27" i="13"/>
  <c r="AU27" i="13" s="1"/>
  <c r="E10" i="13"/>
  <c r="AE31" i="14"/>
  <c r="AE28" i="14"/>
  <c r="AE19" i="14"/>
  <c r="P40" i="14" s="1"/>
  <c r="AE26" i="14"/>
  <c r="AE18" i="14"/>
  <c r="AU31" i="13"/>
  <c r="AE17" i="14"/>
  <c r="AE25" i="14"/>
  <c r="AE11" i="14"/>
  <c r="AE14" i="14"/>
  <c r="V20" i="13"/>
  <c r="AU20" i="13" s="1"/>
  <c r="AE8" i="14"/>
  <c r="AE13" i="14"/>
  <c r="P39" i="14" s="1"/>
  <c r="AE12" i="14"/>
  <c r="V12" i="13"/>
  <c r="AU12" i="13" s="1"/>
  <c r="AE27" i="14"/>
  <c r="AR10" i="17"/>
  <c r="AP21" i="17"/>
  <c r="AP24" i="17"/>
  <c r="Z18" i="17"/>
  <c r="Z8" i="17"/>
  <c r="Z24" i="17"/>
  <c r="E17" i="17"/>
  <c r="Z12" i="17"/>
  <c r="Z27" i="17"/>
  <c r="Z19" i="17"/>
  <c r="Z16" i="17"/>
  <c r="Z9" i="17"/>
  <c r="Z25" i="17"/>
  <c r="AH25" i="17" s="1"/>
  <c r="Z17" i="17"/>
  <c r="Z28" i="17"/>
  <c r="Z23" i="17"/>
  <c r="Z26" i="17"/>
  <c r="Z20" i="17"/>
  <c r="Z11" i="17"/>
  <c r="Z10" i="17"/>
  <c r="Z22" i="17"/>
  <c r="Z13" i="17"/>
  <c r="Z15" i="17"/>
  <c r="Z14" i="17"/>
  <c r="Z21" i="17"/>
  <c r="AP8" i="17"/>
  <c r="AP18" i="17"/>
  <c r="AP27" i="17"/>
  <c r="AS21" i="17"/>
  <c r="AP20" i="17"/>
  <c r="AP28" i="17"/>
  <c r="AP11" i="17"/>
  <c r="Q38" i="17" s="1"/>
  <c r="AR12" i="17"/>
  <c r="AP22" i="17"/>
  <c r="Q41" i="17" s="1"/>
  <c r="AP26" i="17"/>
  <c r="AS22" i="17"/>
  <c r="U28" i="17"/>
  <c r="U10" i="17"/>
  <c r="U5" i="17"/>
  <c r="U23" i="17"/>
  <c r="AQ23" i="17" s="1"/>
  <c r="U6" i="17"/>
  <c r="U26" i="17"/>
  <c r="E10" i="17"/>
  <c r="U15" i="17"/>
  <c r="U11" i="17"/>
  <c r="AR11" i="17" s="1"/>
  <c r="U7" i="17"/>
  <c r="U21" i="17"/>
  <c r="U24" i="17"/>
  <c r="U27" i="17"/>
  <c r="U9" i="17"/>
  <c r="U22" i="17"/>
  <c r="U17" i="17"/>
  <c r="U13" i="17"/>
  <c r="U19" i="17"/>
  <c r="U18" i="17"/>
  <c r="U12" i="17"/>
  <c r="U20" i="17"/>
  <c r="AS20" i="17" s="1"/>
  <c r="U25" i="17"/>
  <c r="U16" i="17"/>
  <c r="U14" i="17"/>
  <c r="U8" i="17"/>
  <c r="AJ9" i="17"/>
  <c r="AP17" i="17"/>
  <c r="AL16" i="17"/>
  <c r="AP25" i="17"/>
  <c r="AP15" i="17"/>
  <c r="AR26" i="17"/>
  <c r="AQ22" i="17"/>
  <c r="AP16" i="17"/>
  <c r="AP19" i="17"/>
  <c r="AH23" i="17"/>
  <c r="AP23" i="17"/>
  <c r="AM26" i="17"/>
  <c r="AV20" i="14"/>
  <c r="AV25" i="14"/>
  <c r="AV24" i="14"/>
  <c r="V30" i="13"/>
  <c r="AU30" i="13" s="1"/>
  <c r="V32" i="13"/>
  <c r="AU32" i="13" s="1"/>
  <c r="V13" i="13"/>
  <c r="V24" i="13"/>
  <c r="V5" i="13"/>
  <c r="V26" i="13"/>
  <c r="AU26" i="13" s="1"/>
  <c r="V10" i="13"/>
  <c r="AU10" i="13" s="1"/>
  <c r="V14" i="13"/>
  <c r="AT14" i="13" s="1"/>
  <c r="V19" i="13"/>
  <c r="AT19" i="13" s="1"/>
  <c r="V28" i="13"/>
  <c r="AO28" i="13" s="1"/>
  <c r="AV28" i="13" s="1"/>
  <c r="AW28" i="13" s="1"/>
  <c r="BC28" i="13" s="1"/>
  <c r="V17" i="13"/>
  <c r="AU17" i="13" s="1"/>
  <c r="V6" i="13"/>
  <c r="V16" i="13"/>
  <c r="AU16" i="13" s="1"/>
  <c r="V7" i="13"/>
  <c r="V22" i="13"/>
  <c r="AU22" i="13" s="1"/>
  <c r="V8" i="13"/>
  <c r="AS8" i="13" s="1"/>
  <c r="V29" i="13"/>
  <c r="V9" i="13"/>
  <c r="AU9" i="13" s="1"/>
  <c r="V11" i="13"/>
  <c r="AU11" i="13" s="1"/>
  <c r="V18" i="13"/>
  <c r="AT18" i="13" s="1"/>
  <c r="P41" i="14"/>
  <c r="AE34" i="14"/>
  <c r="AQ25" i="14"/>
  <c r="AS29" i="14"/>
  <c r="V29" i="14"/>
  <c r="AR29" i="14" s="1"/>
  <c r="V27" i="14"/>
  <c r="V31" i="14"/>
  <c r="AS31" i="14" s="1"/>
  <c r="V21" i="14"/>
  <c r="AV21" i="14" s="1"/>
  <c r="V19" i="14"/>
  <c r="AV19" i="14" s="1"/>
  <c r="V28" i="14"/>
  <c r="AV28" i="14" s="1"/>
  <c r="V14" i="14"/>
  <c r="V11" i="14"/>
  <c r="AV11" i="14" s="1"/>
  <c r="V26" i="14"/>
  <c r="V17" i="14"/>
  <c r="AV17" i="14" s="1"/>
  <c r="V32" i="14"/>
  <c r="AQ32" i="14" s="1"/>
  <c r="V30" i="14"/>
  <c r="V24" i="14"/>
  <c r="AT24" i="14" s="1"/>
  <c r="V9" i="14"/>
  <c r="AV9" i="14" s="1"/>
  <c r="V22" i="14"/>
  <c r="V16" i="14"/>
  <c r="AV16" i="14" s="1"/>
  <c r="V23" i="14"/>
  <c r="V13" i="14"/>
  <c r="V5" i="14"/>
  <c r="V10" i="14"/>
  <c r="V15" i="14"/>
  <c r="AT15" i="14" s="1"/>
  <c r="V12" i="14"/>
  <c r="AR12" i="14" s="1"/>
  <c r="V6" i="14"/>
  <c r="E10" i="14"/>
  <c r="V7" i="14"/>
  <c r="V8" i="14"/>
  <c r="AV8" i="14" s="1"/>
  <c r="V20" i="14"/>
  <c r="AQ20" i="14" s="1"/>
  <c r="V18" i="14"/>
  <c r="AN18" i="14" s="1"/>
  <c r="AA28" i="14"/>
  <c r="AA26" i="14"/>
  <c r="AA32" i="14"/>
  <c r="AA30" i="14"/>
  <c r="AL30" i="14" s="1"/>
  <c r="AA22" i="14"/>
  <c r="AA15" i="14"/>
  <c r="AA12" i="14"/>
  <c r="AA20" i="14"/>
  <c r="AA29" i="14"/>
  <c r="AA27" i="14"/>
  <c r="AA18" i="14"/>
  <c r="AA10" i="14"/>
  <c r="AA31" i="14"/>
  <c r="AA25" i="14"/>
  <c r="AL25" i="14" s="1"/>
  <c r="AA13" i="14"/>
  <c r="AA24" i="14"/>
  <c r="AA14" i="14"/>
  <c r="AA9" i="14"/>
  <c r="AA8" i="14"/>
  <c r="AA19" i="14"/>
  <c r="AA11" i="14"/>
  <c r="AA17" i="14"/>
  <c r="AA16" i="14"/>
  <c r="AA23" i="14"/>
  <c r="AA21" i="14"/>
  <c r="E17" i="14"/>
  <c r="AS25" i="14"/>
  <c r="AM25" i="14"/>
  <c r="AP32" i="13"/>
  <c r="AS10" i="13"/>
  <c r="AS20" i="13"/>
  <c r="AR11" i="13"/>
  <c r="AS11" i="13"/>
  <c r="AT23" i="13"/>
  <c r="AT15" i="13"/>
  <c r="AP11" i="13"/>
  <c r="AQ9" i="13"/>
  <c r="AN29" i="13"/>
  <c r="AP21" i="13"/>
  <c r="P39" i="13"/>
  <c r="AP23" i="13"/>
  <c r="AR26" i="13"/>
  <c r="BI8" i="13"/>
  <c r="BJ8" i="13" s="1"/>
  <c r="AO16" i="13"/>
  <c r="AV16" i="13" s="1"/>
  <c r="AW16" i="13" s="1"/>
  <c r="BC16" i="13" s="1"/>
  <c r="BI16" i="13"/>
  <c r="BJ16" i="13" s="1"/>
  <c r="AO13" i="13"/>
  <c r="AR13" i="13"/>
  <c r="AP27" i="13"/>
  <c r="AO27" i="13"/>
  <c r="AV27" i="13" s="1"/>
  <c r="AW27" i="13" s="1"/>
  <c r="BC27" i="13" s="1"/>
  <c r="BI27" i="13"/>
  <c r="BJ27" i="13" s="1"/>
  <c r="AQ27" i="13"/>
  <c r="AT31" i="13"/>
  <c r="AS28" i="13"/>
  <c r="AK30" i="13"/>
  <c r="AR30" i="13"/>
  <c r="AE34" i="13"/>
  <c r="AO21" i="13"/>
  <c r="AV21" i="13" s="1"/>
  <c r="AW21" i="13" s="1"/>
  <c r="BC21" i="13" s="1"/>
  <c r="AT26" i="13"/>
  <c r="AT22" i="13"/>
  <c r="AR31" i="13"/>
  <c r="AS18" i="13"/>
  <c r="AO12" i="13"/>
  <c r="AV12" i="13" s="1"/>
  <c r="AW12" i="13" s="1"/>
  <c r="BC12" i="13" s="1"/>
  <c r="BI12" i="13"/>
  <c r="BJ12" i="13" s="1"/>
  <c r="AR12" i="13"/>
  <c r="BI31" i="13"/>
  <c r="BJ31" i="13" s="1"/>
  <c r="AO31" i="13"/>
  <c r="AQ20" i="13"/>
  <c r="AQ21" i="13"/>
  <c r="AR27" i="13"/>
  <c r="AR22" i="13"/>
  <c r="AS13" i="13"/>
  <c r="AJ32" i="13"/>
  <c r="AT32" i="13"/>
  <c r="AT20" i="13"/>
  <c r="AT25" i="13"/>
  <c r="AS29" i="13"/>
  <c r="AO22" i="13"/>
  <c r="BI22" i="13"/>
  <c r="BJ22" i="13" s="1"/>
  <c r="AP12" i="13"/>
  <c r="BI25" i="13"/>
  <c r="BJ25" i="13" s="1"/>
  <c r="AO25" i="13"/>
  <c r="AV25" i="13" s="1"/>
  <c r="AW25" i="13" s="1"/>
  <c r="BC25" i="13" s="1"/>
  <c r="AR10" i="13"/>
  <c r="BI10" i="13"/>
  <c r="BJ10" i="13" s="1"/>
  <c r="AP10" i="13"/>
  <c r="AO10" i="13"/>
  <c r="AQ15" i="13"/>
  <c r="AQ31" i="13"/>
  <c r="BI21" i="13"/>
  <c r="BJ21" i="13" s="1"/>
  <c r="AS22" i="13"/>
  <c r="AS21" i="13"/>
  <c r="AR32" i="13"/>
  <c r="AT13" i="13"/>
  <c r="AS25" i="13"/>
  <c r="AP20" i="13"/>
  <c r="BI20" i="13"/>
  <c r="BJ20" i="13" s="1"/>
  <c r="AR20" i="13"/>
  <c r="AO20" i="13"/>
  <c r="AV20" i="13" s="1"/>
  <c r="AW20" i="13" s="1"/>
  <c r="BC20" i="13" s="1"/>
  <c r="AR28" i="13"/>
  <c r="AQ29" i="13"/>
  <c r="AT29" i="13"/>
  <c r="AQ23" i="13"/>
  <c r="AQ12" i="13"/>
  <c r="AQ25" i="13"/>
  <c r="AT30" i="13"/>
  <c r="AT27" i="13"/>
  <c r="AR23" i="13"/>
  <c r="AS12" i="13"/>
  <c r="AR21" i="13"/>
  <c r="AP22" i="13"/>
  <c r="AS14" i="13"/>
  <c r="AO9" i="13"/>
  <c r="AV9" i="13" s="1"/>
  <c r="BI9" i="13"/>
  <c r="BJ9" i="13" s="1"/>
  <c r="AP9" i="13"/>
  <c r="BI11" i="13"/>
  <c r="BJ11" i="13" s="1"/>
  <c r="AO11" i="13"/>
  <c r="AV11" i="13" s="1"/>
  <c r="AW11" i="13" s="1"/>
  <c r="BC11" i="13" s="1"/>
  <c r="AQ8" i="13"/>
  <c r="AT16" i="13"/>
  <c r="AO18" i="13"/>
  <c r="AV18" i="13" s="1"/>
  <c r="BI18" i="13"/>
  <c r="BJ18" i="13" s="1"/>
  <c r="AQ22" i="13"/>
  <c r="AR8" i="13"/>
  <c r="AR17" i="13"/>
  <c r="AA32" i="13"/>
  <c r="AL32" i="13" s="1"/>
  <c r="AA30" i="13"/>
  <c r="AJ30" i="13" s="1"/>
  <c r="AA24" i="13"/>
  <c r="AL24" i="13" s="1"/>
  <c r="AA22" i="13"/>
  <c r="AL22" i="13" s="1"/>
  <c r="AA20" i="13"/>
  <c r="AL20" i="13" s="1"/>
  <c r="AA29" i="13"/>
  <c r="AL29" i="13" s="1"/>
  <c r="AA27" i="13"/>
  <c r="AL27" i="13" s="1"/>
  <c r="AA18" i="13"/>
  <c r="AH18" i="13" s="1"/>
  <c r="AA10" i="13"/>
  <c r="AG10" i="13" s="1"/>
  <c r="AA31" i="13"/>
  <c r="AL31" i="13" s="1"/>
  <c r="AA25" i="13"/>
  <c r="AI25" i="13" s="1"/>
  <c r="AY25" i="13" s="1"/>
  <c r="BE25" i="13" s="1"/>
  <c r="AA13" i="13"/>
  <c r="AK13" i="13" s="1"/>
  <c r="AA23" i="13"/>
  <c r="AL23" i="13" s="1"/>
  <c r="E17" i="13"/>
  <c r="AA16" i="13"/>
  <c r="AL16" i="13" s="1"/>
  <c r="AA21" i="13"/>
  <c r="AM21" i="13" s="1"/>
  <c r="AA12" i="13"/>
  <c r="AM12" i="13" s="1"/>
  <c r="AA11" i="13"/>
  <c r="AA8" i="13"/>
  <c r="AL8" i="13" s="1"/>
  <c r="AA14" i="13"/>
  <c r="AL14" i="13" s="1"/>
  <c r="AA17" i="13"/>
  <c r="AA19" i="13"/>
  <c r="AA28" i="13"/>
  <c r="AL28" i="13" s="1"/>
  <c r="AA26" i="13"/>
  <c r="AL26" i="13" s="1"/>
  <c r="AA15" i="13"/>
  <c r="AH15" i="13" s="1"/>
  <c r="AX15" i="13" s="1"/>
  <c r="BD15" i="13" s="1"/>
  <c r="AA9" i="13"/>
  <c r="AG9" i="13" s="1"/>
  <c r="AO32" i="13"/>
  <c r="BI32" i="13"/>
  <c r="BJ32" i="13" s="1"/>
  <c r="AG32" i="13"/>
  <c r="AI16" i="13"/>
  <c r="AY16" i="13" s="1"/>
  <c r="BE16" i="13" s="1"/>
  <c r="AQ16" i="13"/>
  <c r="AJ24" i="13"/>
  <c r="AZ24" i="13" s="1"/>
  <c r="BF24" i="13" s="1"/>
  <c r="AT24" i="13"/>
  <c r="AR16" i="13"/>
  <c r="AK16" i="13"/>
  <c r="BA16" i="13" s="1"/>
  <c r="BG16" i="13" s="1"/>
  <c r="AR18" i="13"/>
  <c r="AS31" i="13"/>
  <c r="AO23" i="13"/>
  <c r="AV23" i="13" s="1"/>
  <c r="BI23" i="13"/>
  <c r="BJ23" i="13" s="1"/>
  <c r="AR14" i="13"/>
  <c r="AN26" i="13"/>
  <c r="AR19" i="13"/>
  <c r="AS27" i="13"/>
  <c r="AO15" i="13"/>
  <c r="AV15" i="13" s="1"/>
  <c r="AW15" i="13" s="1"/>
  <c r="BC15" i="13" s="1"/>
  <c r="BI15" i="13"/>
  <c r="BJ15" i="13" s="1"/>
  <c r="AR15" i="13"/>
  <c r="AP26" i="13"/>
  <c r="AN30" i="13"/>
  <c r="AN31" i="13"/>
  <c r="AH32" i="13"/>
  <c r="AR25" i="13"/>
  <c r="AH22" i="13"/>
  <c r="AS15" i="13"/>
  <c r="AO24" i="13"/>
  <c r="AV24" i="13" s="1"/>
  <c r="AW24" i="13" s="1"/>
  <c r="BC24" i="13" s="1"/>
  <c r="BI24" i="13"/>
  <c r="BJ24" i="13" s="1"/>
  <c r="AP24" i="13"/>
  <c r="AQ13" i="13"/>
  <c r="AN27" i="13"/>
  <c r="BB27" i="13" s="1"/>
  <c r="BH27" i="13" s="1"/>
  <c r="AP15" i="13"/>
  <c r="AQ24" i="13"/>
  <c r="AT8" i="13"/>
  <c r="AO30" i="13"/>
  <c r="BI30" i="13"/>
  <c r="BJ30" i="13" s="1"/>
  <c r="AP30" i="13"/>
  <c r="AT12" i="13"/>
  <c r="AP25" i="13"/>
  <c r="AM20" i="13"/>
  <c r="AN32" i="13"/>
  <c r="AQ30" i="13"/>
  <c r="AI30" i="13"/>
  <c r="AO29" i="13"/>
  <c r="BI29" i="13"/>
  <c r="BJ29" i="13" s="1"/>
  <c r="AS26" i="13"/>
  <c r="AR29" i="13"/>
  <c r="AS9" i="13"/>
  <c r="AM9" i="13"/>
  <c r="AM16" i="13"/>
  <c r="AS16" i="13"/>
  <c r="AT21" i="13"/>
  <c r="BI26" i="13"/>
  <c r="BJ26" i="13" s="1"/>
  <c r="AO26" i="13"/>
  <c r="AR24" i="13"/>
  <c r="AN16" i="13"/>
  <c r="BB16" i="13" s="1"/>
  <c r="BH16" i="13" s="1"/>
  <c r="AP16" i="13"/>
  <c r="AT9" i="13"/>
  <c r="AQ26" i="13"/>
  <c r="AH23" i="13"/>
  <c r="AX23" i="13" s="1"/>
  <c r="BD23" i="13" s="1"/>
  <c r="AT11" i="13"/>
  <c r="AT10" i="13"/>
  <c r="AS23" i="13"/>
  <c r="AM23" i="13"/>
  <c r="AS30" i="13"/>
  <c r="BI14" i="13"/>
  <c r="BJ14" i="13" s="1"/>
  <c r="AO14" i="13"/>
  <c r="AV14" i="13" s="1"/>
  <c r="AW14" i="13" s="1"/>
  <c r="BC14" i="13" s="1"/>
  <c r="AN14" i="13"/>
  <c r="BB14" i="13" s="1"/>
  <c r="BH14" i="13" s="1"/>
  <c r="AI9" i="13"/>
  <c r="AK15" i="13"/>
  <c r="BA15" i="13" s="1"/>
  <c r="BG15" i="13" s="1"/>
  <c r="AH16" i="13"/>
  <c r="AX16" i="13" s="1"/>
  <c r="BD16" i="13" s="1"/>
  <c r="AJ9" i="13"/>
  <c r="AQ10" i="13"/>
  <c r="AQ11" i="13"/>
  <c r="K42" i="18" l="1"/>
  <c r="H42" i="18"/>
  <c r="N42" i="18"/>
  <c r="G42" i="18"/>
  <c r="AU25" i="18"/>
  <c r="AW25" i="18" s="1"/>
  <c r="AX25" i="18" s="1"/>
  <c r="BD25" i="18" s="1"/>
  <c r="G41" i="18"/>
  <c r="G40" i="18"/>
  <c r="R40" i="18"/>
  <c r="T42" i="18"/>
  <c r="U42" i="18"/>
  <c r="N39" i="18"/>
  <c r="U41" i="18"/>
  <c r="G39" i="18"/>
  <c r="T39" i="18"/>
  <c r="T38" i="18"/>
  <c r="AU9" i="18"/>
  <c r="AW9" i="18" s="1"/>
  <c r="AX9" i="18" s="1"/>
  <c r="BD9" i="18" s="1"/>
  <c r="AU24" i="18"/>
  <c r="AW24" i="18" s="1"/>
  <c r="AX24" i="18" s="1"/>
  <c r="BD24" i="18" s="1"/>
  <c r="AU15" i="18"/>
  <c r="AW15" i="18" s="1"/>
  <c r="AX15" i="18" s="1"/>
  <c r="BD15" i="18" s="1"/>
  <c r="AU14" i="18"/>
  <c r="AW14" i="18" s="1"/>
  <c r="AX14" i="18" s="1"/>
  <c r="BD14" i="18" s="1"/>
  <c r="AU11" i="18"/>
  <c r="AW11" i="18" s="1"/>
  <c r="AX11" i="18" s="1"/>
  <c r="BD11" i="18" s="1"/>
  <c r="AU27" i="18"/>
  <c r="AW27" i="18" s="1"/>
  <c r="AX27" i="18" s="1"/>
  <c r="BD27" i="18" s="1"/>
  <c r="AU12" i="18"/>
  <c r="AW12" i="18" s="1"/>
  <c r="AX12" i="18" s="1"/>
  <c r="BD12" i="18" s="1"/>
  <c r="AU19" i="18"/>
  <c r="AW19" i="18" s="1"/>
  <c r="AX19" i="18" s="1"/>
  <c r="BD19" i="18" s="1"/>
  <c r="V39" i="18"/>
  <c r="S39" i="18"/>
  <c r="BC18" i="18"/>
  <c r="BI18" i="18" s="1"/>
  <c r="M40" i="18"/>
  <c r="I42" i="18"/>
  <c r="AY26" i="18"/>
  <c r="BE26" i="18" s="1"/>
  <c r="L39" i="18"/>
  <c r="BB13" i="18"/>
  <c r="BH13" i="18" s="1"/>
  <c r="J41" i="18"/>
  <c r="V42" i="18"/>
  <c r="K38" i="18"/>
  <c r="BA9" i="18"/>
  <c r="BG9" i="18" s="1"/>
  <c r="H38" i="18"/>
  <c r="M41" i="18"/>
  <c r="BC22" i="18"/>
  <c r="BI22" i="18" s="1"/>
  <c r="AU28" i="18"/>
  <c r="AW28" i="18" s="1"/>
  <c r="AX28" i="18" s="1"/>
  <c r="BD28" i="18" s="1"/>
  <c r="N40" i="18"/>
  <c r="M38" i="18"/>
  <c r="BC9" i="18"/>
  <c r="BI9" i="18" s="1"/>
  <c r="V41" i="18"/>
  <c r="BA13" i="18"/>
  <c r="BG13" i="18" s="1"/>
  <c r="K39" i="18"/>
  <c r="K41" i="18"/>
  <c r="S38" i="18"/>
  <c r="AU20" i="18"/>
  <c r="AW20" i="18" s="1"/>
  <c r="AX20" i="18" s="1"/>
  <c r="BD20" i="18" s="1"/>
  <c r="Q42" i="18"/>
  <c r="AU26" i="18"/>
  <c r="AW26" i="18" s="1"/>
  <c r="AX26" i="18" s="1"/>
  <c r="BD26" i="18" s="1"/>
  <c r="T41" i="18"/>
  <c r="J38" i="18"/>
  <c r="AZ9" i="18"/>
  <c r="BF9" i="18" s="1"/>
  <c r="U39" i="18"/>
  <c r="AU21" i="18"/>
  <c r="AW21" i="18" s="1"/>
  <c r="AX21" i="18" s="1"/>
  <c r="BD21" i="18" s="1"/>
  <c r="AV34" i="18"/>
  <c r="V38" i="18"/>
  <c r="I39" i="18"/>
  <c r="AY13" i="18"/>
  <c r="BE13" i="18" s="1"/>
  <c r="V40" i="18"/>
  <c r="I40" i="18"/>
  <c r="AY18" i="18"/>
  <c r="BE18" i="18" s="1"/>
  <c r="AU8" i="18"/>
  <c r="AW8" i="18" s="1"/>
  <c r="AX8" i="18" s="1"/>
  <c r="BD8" i="18" s="1"/>
  <c r="AY9" i="18"/>
  <c r="BE9" i="18" s="1"/>
  <c r="I38" i="18"/>
  <c r="L41" i="18"/>
  <c r="BB22" i="18"/>
  <c r="BH22" i="18" s="1"/>
  <c r="H39" i="18"/>
  <c r="BB18" i="18"/>
  <c r="BH18" i="18" s="1"/>
  <c r="L40" i="18"/>
  <c r="Q41" i="18"/>
  <c r="AU22" i="18"/>
  <c r="AW22" i="18" s="1"/>
  <c r="AU18" i="18"/>
  <c r="AW18" i="18" s="1"/>
  <c r="M42" i="18"/>
  <c r="AU13" i="18"/>
  <c r="AW13" i="18" s="1"/>
  <c r="Q39" i="18"/>
  <c r="T40" i="18"/>
  <c r="BB26" i="18"/>
  <c r="BH26" i="18" s="1"/>
  <c r="L42" i="18"/>
  <c r="Q38" i="18"/>
  <c r="AU10" i="18"/>
  <c r="AW10" i="18" s="1"/>
  <c r="AX10" i="18" s="1"/>
  <c r="BD10" i="18" s="1"/>
  <c r="J40" i="18"/>
  <c r="AU23" i="18"/>
  <c r="AW23" i="18" s="1"/>
  <c r="I41" i="18"/>
  <c r="AY22" i="18"/>
  <c r="BE22" i="18" s="1"/>
  <c r="S40" i="18"/>
  <c r="U40" i="18"/>
  <c r="H40" i="18"/>
  <c r="Q40" i="18"/>
  <c r="AU17" i="18"/>
  <c r="AW17" i="18" s="1"/>
  <c r="AX17" i="18" s="1"/>
  <c r="BD17" i="18" s="1"/>
  <c r="L38" i="18"/>
  <c r="BB9" i="18"/>
  <c r="BH9" i="18" s="1"/>
  <c r="N41" i="18"/>
  <c r="M39" i="18"/>
  <c r="BC13" i="18"/>
  <c r="BI13" i="18" s="1"/>
  <c r="AZ13" i="18"/>
  <c r="BF13" i="18" s="1"/>
  <c r="J39" i="18"/>
  <c r="AU16" i="18"/>
  <c r="AW16" i="18" s="1"/>
  <c r="AX16" i="18" s="1"/>
  <c r="BD16" i="18" s="1"/>
  <c r="N38" i="18"/>
  <c r="J42" i="18"/>
  <c r="H41" i="18"/>
  <c r="K40" i="18"/>
  <c r="AL17" i="13"/>
  <c r="AT17" i="13"/>
  <c r="AM25" i="13"/>
  <c r="AN28" i="13"/>
  <c r="BB28" i="13" s="1"/>
  <c r="BH28" i="13" s="1"/>
  <c r="P42" i="14"/>
  <c r="AQ19" i="17"/>
  <c r="AH26" i="17"/>
  <c r="AN10" i="13"/>
  <c r="BB10" i="13" s="1"/>
  <c r="BH10" i="13" s="1"/>
  <c r="AQ19" i="13"/>
  <c r="AO17" i="13"/>
  <c r="AR9" i="13"/>
  <c r="AP29" i="13"/>
  <c r="AU29" i="13"/>
  <c r="AQ13" i="17"/>
  <c r="AP17" i="13"/>
  <c r="AL17" i="14"/>
  <c r="AP8" i="13"/>
  <c r="AU8" i="13"/>
  <c r="AS24" i="13"/>
  <c r="AU24" i="13"/>
  <c r="AQ17" i="17"/>
  <c r="AJ23" i="17"/>
  <c r="AQ17" i="14"/>
  <c r="AO19" i="13"/>
  <c r="AV19" i="13" s="1"/>
  <c r="AW19" i="13" s="1"/>
  <c r="BC19" i="13" s="1"/>
  <c r="AU19" i="13"/>
  <c r="AJ21" i="13"/>
  <c r="AZ21" i="13" s="1"/>
  <c r="BF21" i="13" s="1"/>
  <c r="AS17" i="13"/>
  <c r="AP19" i="13"/>
  <c r="AI13" i="13"/>
  <c r="AK32" i="13"/>
  <c r="AS19" i="13"/>
  <c r="BI28" i="13"/>
  <c r="BJ28" i="13" s="1"/>
  <c r="AP13" i="13"/>
  <c r="AU13" i="13"/>
  <c r="AR22" i="17"/>
  <c r="AI26" i="13"/>
  <c r="AI10" i="13"/>
  <c r="AY10" i="13" s="1"/>
  <c r="BE10" i="13" s="1"/>
  <c r="AQ9" i="17"/>
  <c r="AL10" i="17"/>
  <c r="AK25" i="13"/>
  <c r="BA25" i="13" s="1"/>
  <c r="BG25" i="13" s="1"/>
  <c r="AJ17" i="13"/>
  <c r="AL12" i="14"/>
  <c r="AS8" i="17"/>
  <c r="AQ28" i="17"/>
  <c r="AJ24" i="17"/>
  <c r="AL21" i="17"/>
  <c r="Q42" i="17"/>
  <c r="AQ17" i="13"/>
  <c r="AM19" i="13"/>
  <c r="BI19" i="13"/>
  <c r="BJ19" i="13" s="1"/>
  <c r="AQ28" i="13"/>
  <c r="AU28" i="13"/>
  <c r="AV12" i="14"/>
  <c r="AQ25" i="17"/>
  <c r="AH20" i="17"/>
  <c r="AH11" i="17"/>
  <c r="AH17" i="17"/>
  <c r="AP18" i="13"/>
  <c r="AU18" i="13"/>
  <c r="AP14" i="13"/>
  <c r="AU14" i="13"/>
  <c r="AQ12" i="17"/>
  <c r="AH15" i="17"/>
  <c r="AR9" i="17"/>
  <c r="AJ16" i="17"/>
  <c r="AJ21" i="17"/>
  <c r="AK26" i="17"/>
  <c r="AL25" i="17"/>
  <c r="AH16" i="17"/>
  <c r="AM23" i="17"/>
  <c r="AJ26" i="17"/>
  <c r="AH21" i="17"/>
  <c r="AR16" i="17"/>
  <c r="AJ17" i="17"/>
  <c r="S38" i="17"/>
  <c r="AK13" i="17"/>
  <c r="AK19" i="17"/>
  <c r="AR23" i="17"/>
  <c r="AJ25" i="17"/>
  <c r="AK22" i="17"/>
  <c r="AS17" i="17"/>
  <c r="AN27" i="17"/>
  <c r="BI27" i="17"/>
  <c r="BJ27" i="17" s="1"/>
  <c r="AF27" i="17"/>
  <c r="AM27" i="17"/>
  <c r="AF14" i="17"/>
  <c r="AM14" i="17"/>
  <c r="BI14" i="17"/>
  <c r="BJ14" i="17" s="1"/>
  <c r="AN14" i="17"/>
  <c r="AH14" i="17"/>
  <c r="AR14" i="17"/>
  <c r="AL14" i="17"/>
  <c r="AS14" i="17"/>
  <c r="AI14" i="17"/>
  <c r="AN24" i="17"/>
  <c r="BI24" i="17"/>
  <c r="BJ24" i="17" s="1"/>
  <c r="AF24" i="17"/>
  <c r="AM24" i="17"/>
  <c r="AQ8" i="17"/>
  <c r="AL13" i="17"/>
  <c r="AH19" i="17"/>
  <c r="AR27" i="17"/>
  <c r="AF20" i="17"/>
  <c r="AN20" i="17"/>
  <c r="BI20" i="17"/>
  <c r="BJ20" i="17" s="1"/>
  <c r="AI20" i="17"/>
  <c r="AM20" i="17"/>
  <c r="AN11" i="17"/>
  <c r="BI11" i="17"/>
  <c r="BJ11" i="17" s="1"/>
  <c r="AF11" i="17"/>
  <c r="AM11" i="17"/>
  <c r="AL11" i="17"/>
  <c r="AI11" i="17"/>
  <c r="AS11" i="17"/>
  <c r="AR20" i="17"/>
  <c r="AR24" i="17"/>
  <c r="AL26" i="17"/>
  <c r="BI18" i="17"/>
  <c r="BJ18" i="17" s="1"/>
  <c r="AF18" i="17"/>
  <c r="AN18" i="17"/>
  <c r="AM18" i="17"/>
  <c r="AJ11" i="17"/>
  <c r="AI27" i="17"/>
  <c r="AI24" i="17"/>
  <c r="AK23" i="17"/>
  <c r="AK18" i="17"/>
  <c r="AQ16" i="17"/>
  <c r="AF28" i="17"/>
  <c r="AN28" i="17"/>
  <c r="BI28" i="17"/>
  <c r="BJ28" i="17" s="1"/>
  <c r="AH28" i="17"/>
  <c r="AJ12" i="17"/>
  <c r="AS18" i="17"/>
  <c r="AH8" i="17"/>
  <c r="AK28" i="17"/>
  <c r="AJ14" i="17"/>
  <c r="AF15" i="17"/>
  <c r="BI15" i="17"/>
  <c r="BJ15" i="17" s="1"/>
  <c r="AN15" i="17"/>
  <c r="AS15" i="17"/>
  <c r="AM15" i="17"/>
  <c r="AL15" i="17"/>
  <c r="AR15" i="17"/>
  <c r="AI15" i="17"/>
  <c r="AJ28" i="17"/>
  <c r="AK8" i="17"/>
  <c r="AN13" i="17"/>
  <c r="AM13" i="17"/>
  <c r="BI13" i="17"/>
  <c r="BJ13" i="17" s="1"/>
  <c r="AF13" i="17"/>
  <c r="AI13" i="17"/>
  <c r="AH13" i="17"/>
  <c r="AS13" i="17"/>
  <c r="AR25" i="17"/>
  <c r="AI18" i="17"/>
  <c r="AK17" i="17"/>
  <c r="AQ14" i="17"/>
  <c r="AR21" i="17"/>
  <c r="AK20" i="17"/>
  <c r="AL27" i="17"/>
  <c r="BI12" i="17"/>
  <c r="BJ12" i="17" s="1"/>
  <c r="AN12" i="17"/>
  <c r="AF12" i="17"/>
  <c r="AM12" i="17"/>
  <c r="AL12" i="17"/>
  <c r="AH12" i="17"/>
  <c r="AQ11" i="17"/>
  <c r="AS27" i="17"/>
  <c r="AH27" i="17"/>
  <c r="AS24" i="17"/>
  <c r="AL24" i="17"/>
  <c r="AH22" i="17"/>
  <c r="AM22" i="17"/>
  <c r="AF17" i="17"/>
  <c r="AN17" i="17"/>
  <c r="AM17" i="17"/>
  <c r="AL17" i="17"/>
  <c r="AR17" i="17"/>
  <c r="AI17" i="17"/>
  <c r="AF23" i="17"/>
  <c r="AN23" i="17"/>
  <c r="BI23" i="17"/>
  <c r="BJ23" i="17" s="1"/>
  <c r="AI23" i="17"/>
  <c r="AQ15" i="17"/>
  <c r="AL18" i="17"/>
  <c r="AI28" i="17"/>
  <c r="AS12" i="17"/>
  <c r="AL28" i="17"/>
  <c r="AH18" i="17"/>
  <c r="AK21" i="17"/>
  <c r="AK25" i="17"/>
  <c r="AM28" i="17"/>
  <c r="AN19" i="17"/>
  <c r="AF19" i="17"/>
  <c r="BI19" i="17"/>
  <c r="BJ19" i="17" s="1"/>
  <c r="AI19" i="17"/>
  <c r="AM19" i="17"/>
  <c r="AQ18" i="17"/>
  <c r="AN22" i="17"/>
  <c r="BI22" i="17"/>
  <c r="BJ22" i="17" s="1"/>
  <c r="AF22" i="17"/>
  <c r="AJ15" i="17"/>
  <c r="AR18" i="17"/>
  <c r="AS28" i="17"/>
  <c r="AI12" i="17"/>
  <c r="AR28" i="17"/>
  <c r="AK14" i="17"/>
  <c r="AK9" i="17"/>
  <c r="AM25" i="17"/>
  <c r="AK24" i="17"/>
  <c r="Q40" i="17"/>
  <c r="BI26" i="17"/>
  <c r="BJ26" i="17" s="1"/>
  <c r="AF26" i="17"/>
  <c r="AN26" i="17"/>
  <c r="AS26" i="17"/>
  <c r="AI26" i="17"/>
  <c r="AJ18" i="17"/>
  <c r="AN9" i="17"/>
  <c r="BI9" i="17"/>
  <c r="BJ9" i="17" s="1"/>
  <c r="AI9" i="17"/>
  <c r="AF9" i="17"/>
  <c r="G38" i="17" s="1"/>
  <c r="AM9" i="17"/>
  <c r="AH9" i="17"/>
  <c r="AS9" i="17"/>
  <c r="AN10" i="17"/>
  <c r="BI10" i="17"/>
  <c r="BJ10" i="17" s="1"/>
  <c r="AF10" i="17"/>
  <c r="AM10" i="17"/>
  <c r="AI10" i="17"/>
  <c r="AS10" i="17"/>
  <c r="AH10" i="17"/>
  <c r="AQ10" i="17"/>
  <c r="AJ10" i="17"/>
  <c r="AJ13" i="17"/>
  <c r="AQ24" i="17"/>
  <c r="AK15" i="17"/>
  <c r="AK16" i="17"/>
  <c r="AH24" i="17"/>
  <c r="AL23" i="17"/>
  <c r="BI8" i="17"/>
  <c r="BJ8" i="17" s="1"/>
  <c r="AF8" i="17"/>
  <c r="AN8" i="17"/>
  <c r="AL8" i="17"/>
  <c r="AI8" i="17"/>
  <c r="AM8" i="17"/>
  <c r="AR8" i="17"/>
  <c r="AN16" i="17"/>
  <c r="AM16" i="17"/>
  <c r="AF16" i="17"/>
  <c r="BI16" i="17"/>
  <c r="BJ16" i="17" s="1"/>
  <c r="AI16" i="17"/>
  <c r="AS16" i="17"/>
  <c r="AN21" i="17"/>
  <c r="BI21" i="17"/>
  <c r="BJ21" i="17" s="1"/>
  <c r="AF21" i="17"/>
  <c r="AM21" i="17"/>
  <c r="AI22" i="17"/>
  <c r="AR19" i="17"/>
  <c r="AJ8" i="17"/>
  <c r="AR13" i="17"/>
  <c r="AJ19" i="17"/>
  <c r="AQ20" i="17"/>
  <c r="AK10" i="17"/>
  <c r="AK12" i="17"/>
  <c r="AQ27" i="17"/>
  <c r="AS23" i="17"/>
  <c r="AJ20" i="17"/>
  <c r="AK27" i="17"/>
  <c r="AJ22" i="17"/>
  <c r="AF25" i="17"/>
  <c r="AN25" i="17"/>
  <c r="BI25" i="17"/>
  <c r="BJ25" i="17" s="1"/>
  <c r="AS25" i="17"/>
  <c r="AI25" i="17"/>
  <c r="AL20" i="17"/>
  <c r="AL19" i="17"/>
  <c r="AL9" i="17"/>
  <c r="AQ21" i="17"/>
  <c r="AQ26" i="17"/>
  <c r="AI21" i="17"/>
  <c r="AL22" i="17"/>
  <c r="AK11" i="17"/>
  <c r="AJ27" i="17"/>
  <c r="AS19" i="17"/>
  <c r="AR8" i="14"/>
  <c r="AK27" i="14"/>
  <c r="BB27" i="14" s="1"/>
  <c r="BH27" i="14" s="1"/>
  <c r="AG27" i="14"/>
  <c r="AM27" i="14"/>
  <c r="AS22" i="14"/>
  <c r="AV22" i="14"/>
  <c r="AL20" i="14"/>
  <c r="AI30" i="14"/>
  <c r="AZ30" i="14" s="1"/>
  <c r="BF30" i="14" s="1"/>
  <c r="AQ30" i="14"/>
  <c r="AV29" i="14"/>
  <c r="AL15" i="14"/>
  <c r="AK21" i="14"/>
  <c r="BB21" i="14" s="1"/>
  <c r="BH21" i="14" s="1"/>
  <c r="AR10" i="14"/>
  <c r="AV10" i="14"/>
  <c r="AM22" i="14"/>
  <c r="AV31" i="14"/>
  <c r="AQ15" i="14"/>
  <c r="AV15" i="14"/>
  <c r="AV27" i="14"/>
  <c r="AL32" i="14"/>
  <c r="AR14" i="14"/>
  <c r="S40" i="14" s="1"/>
  <c r="AV14" i="14"/>
  <c r="AR13" i="14"/>
  <c r="AV13" i="14"/>
  <c r="AK25" i="14"/>
  <c r="BB25" i="14" s="1"/>
  <c r="BH25" i="14" s="1"/>
  <c r="AV30" i="14"/>
  <c r="AK18" i="14"/>
  <c r="AS32" i="14"/>
  <c r="AV32" i="14"/>
  <c r="AI26" i="14"/>
  <c r="AZ26" i="14" s="1"/>
  <c r="BF26" i="14" s="1"/>
  <c r="AV26" i="14"/>
  <c r="AS23" i="14"/>
  <c r="AV23" i="14"/>
  <c r="AN25" i="14"/>
  <c r="BC25" i="14" s="1"/>
  <c r="BI25" i="14" s="1"/>
  <c r="AG25" i="14"/>
  <c r="AV18" i="14"/>
  <c r="AQ18" i="13"/>
  <c r="AJ31" i="13"/>
  <c r="AK12" i="13"/>
  <c r="BA12" i="13" s="1"/>
  <c r="BG12" i="13" s="1"/>
  <c r="AM31" i="13"/>
  <c r="AP28" i="13"/>
  <c r="AS32" i="13"/>
  <c r="BI13" i="13"/>
  <c r="BJ13" i="13" s="1"/>
  <c r="AV8" i="13"/>
  <c r="AW8" i="13" s="1"/>
  <c r="BC8" i="13" s="1"/>
  <c r="AT28" i="13"/>
  <c r="AJ10" i="13"/>
  <c r="AZ10" i="13" s="1"/>
  <c r="BF10" i="13" s="1"/>
  <c r="AJ28" i="13"/>
  <c r="AZ28" i="13" s="1"/>
  <c r="BF28" i="13" s="1"/>
  <c r="AQ32" i="13"/>
  <c r="V42" i="13"/>
  <c r="AK20" i="13"/>
  <c r="BA20" i="13" s="1"/>
  <c r="BG20" i="13" s="1"/>
  <c r="AK31" i="13"/>
  <c r="AH26" i="13"/>
  <c r="AX26" i="13" s="1"/>
  <c r="BD26" i="13" s="1"/>
  <c r="AG31" i="13"/>
  <c r="AH24" i="13"/>
  <c r="AX24" i="13" s="1"/>
  <c r="BD24" i="13" s="1"/>
  <c r="AQ14" i="13"/>
  <c r="AR26" i="14"/>
  <c r="AL26" i="14"/>
  <c r="AS26" i="14"/>
  <c r="AK23" i="14"/>
  <c r="BB23" i="14" s="1"/>
  <c r="BH23" i="14" s="1"/>
  <c r="AR23" i="14"/>
  <c r="AN23" i="14"/>
  <c r="BC23" i="14" s="1"/>
  <c r="BI23" i="14" s="1"/>
  <c r="AJ20" i="14"/>
  <c r="BA20" i="14" s="1"/>
  <c r="BG20" i="14" s="1"/>
  <c r="AI17" i="14"/>
  <c r="AZ17" i="14" s="1"/>
  <c r="BF17" i="14" s="1"/>
  <c r="AL19" i="14"/>
  <c r="AS18" i="14"/>
  <c r="AJ15" i="14"/>
  <c r="BA15" i="14" s="1"/>
  <c r="BG15" i="14" s="1"/>
  <c r="AS24" i="14"/>
  <c r="AR22" i="14"/>
  <c r="AS12" i="14"/>
  <c r="AR27" i="14"/>
  <c r="AR15" i="14"/>
  <c r="AK20" i="14"/>
  <c r="BB20" i="14" s="1"/>
  <c r="BH20" i="14" s="1"/>
  <c r="AL24" i="14"/>
  <c r="AM11" i="14"/>
  <c r="AI22" i="14"/>
  <c r="AZ22" i="14" s="1"/>
  <c r="BF22" i="14" s="1"/>
  <c r="AR24" i="14"/>
  <c r="AQ26" i="14"/>
  <c r="AN27" i="14"/>
  <c r="BC27" i="14" s="1"/>
  <c r="BI27" i="14" s="1"/>
  <c r="AR20" i="14"/>
  <c r="AL13" i="14"/>
  <c r="AK14" i="14"/>
  <c r="BB14" i="14" s="1"/>
  <c r="BH14" i="14" s="1"/>
  <c r="AQ22" i="14"/>
  <c r="AQ12" i="14"/>
  <c r="AT22" i="14"/>
  <c r="AS20" i="14"/>
  <c r="AS27" i="14"/>
  <c r="AS15" i="14"/>
  <c r="AI19" i="14"/>
  <c r="AZ19" i="14" s="1"/>
  <c r="BF19" i="14" s="1"/>
  <c r="AK19" i="14"/>
  <c r="BB19" i="14" s="1"/>
  <c r="BH19" i="14" s="1"/>
  <c r="AS19" i="14"/>
  <c r="AL23" i="14"/>
  <c r="AM18" i="14"/>
  <c r="AQ24" i="14"/>
  <c r="AR19" i="14"/>
  <c r="AQ19" i="14"/>
  <c r="AR17" i="14"/>
  <c r="AL27" i="14"/>
  <c r="AG28" i="14"/>
  <c r="AP28" i="14"/>
  <c r="AO28" i="14"/>
  <c r="AQ28" i="14"/>
  <c r="BJ28" i="14"/>
  <c r="BK28" i="14" s="1"/>
  <c r="AJ28" i="14"/>
  <c r="BA28" i="14" s="1"/>
  <c r="BG28" i="14" s="1"/>
  <c r="AH28" i="14"/>
  <c r="AY28" i="14" s="1"/>
  <c r="BE28" i="14" s="1"/>
  <c r="AT28" i="14"/>
  <c r="AN28" i="14"/>
  <c r="BC28" i="14" s="1"/>
  <c r="BI28" i="14" s="1"/>
  <c r="AI28" i="14"/>
  <c r="AZ28" i="14" s="1"/>
  <c r="BF28" i="14" s="1"/>
  <c r="AL10" i="14"/>
  <c r="AG16" i="14"/>
  <c r="AO16" i="14"/>
  <c r="AJ16" i="14"/>
  <c r="BA16" i="14" s="1"/>
  <c r="BG16" i="14" s="1"/>
  <c r="AN16" i="14"/>
  <c r="BC16" i="14" s="1"/>
  <c r="BI16" i="14" s="1"/>
  <c r="BJ16" i="14"/>
  <c r="BK16" i="14" s="1"/>
  <c r="AT16" i="14"/>
  <c r="AI16" i="14"/>
  <c r="AZ16" i="14" s="1"/>
  <c r="BF16" i="14" s="1"/>
  <c r="AP16" i="14"/>
  <c r="AH16" i="14"/>
  <c r="AY16" i="14" s="1"/>
  <c r="BE16" i="14" s="1"/>
  <c r="AQ16" i="14"/>
  <c r="AG21" i="14"/>
  <c r="AO21" i="14"/>
  <c r="BJ21" i="14"/>
  <c r="BK21" i="14" s="1"/>
  <c r="AJ21" i="14"/>
  <c r="BA21" i="14" s="1"/>
  <c r="BG21" i="14" s="1"/>
  <c r="AT21" i="14"/>
  <c r="AH21" i="14"/>
  <c r="AY21" i="14" s="1"/>
  <c r="BE21" i="14" s="1"/>
  <c r="AP21" i="14"/>
  <c r="AS21" i="14"/>
  <c r="AM21" i="14"/>
  <c r="AQ21" i="14"/>
  <c r="AI21" i="14"/>
  <c r="AZ21" i="14" s="1"/>
  <c r="BF21" i="14" s="1"/>
  <c r="AK28" i="14"/>
  <c r="BB28" i="14" s="1"/>
  <c r="BH28" i="14" s="1"/>
  <c r="AI15" i="14"/>
  <c r="AZ15" i="14" s="1"/>
  <c r="BF15" i="14" s="1"/>
  <c r="AI29" i="14"/>
  <c r="AZ29" i="14" s="1"/>
  <c r="BF29" i="14" s="1"/>
  <c r="AM31" i="14"/>
  <c r="AL16" i="14"/>
  <c r="AL18" i="14"/>
  <c r="AO20" i="14"/>
  <c r="BJ20" i="14"/>
  <c r="BK20" i="14" s="1"/>
  <c r="AP20" i="14"/>
  <c r="AG20" i="14"/>
  <c r="AN20" i="14"/>
  <c r="BC20" i="14" s="1"/>
  <c r="BI20" i="14" s="1"/>
  <c r="AH20" i="14"/>
  <c r="AY20" i="14" s="1"/>
  <c r="BE20" i="14" s="1"/>
  <c r="BJ22" i="14"/>
  <c r="BK22" i="14" s="1"/>
  <c r="AP22" i="14"/>
  <c r="AO22" i="14"/>
  <c r="AH22" i="14"/>
  <c r="AG22" i="14"/>
  <c r="AN22" i="14"/>
  <c r="AO25" i="14"/>
  <c r="BJ25" i="14"/>
  <c r="BK25" i="14" s="1"/>
  <c r="AP25" i="14"/>
  <c r="AH25" i="14"/>
  <c r="AY25" i="14" s="1"/>
  <c r="BE25" i="14" s="1"/>
  <c r="AJ25" i="14"/>
  <c r="BA25" i="14" s="1"/>
  <c r="BG25" i="14" s="1"/>
  <c r="AT25" i="14"/>
  <c r="AJ22" i="14"/>
  <c r="AM29" i="14"/>
  <c r="AR28" i="14"/>
  <c r="AM28" i="14"/>
  <c r="AM19" i="14"/>
  <c r="AT20" i="14"/>
  <c r="AR31" i="14"/>
  <c r="AS10" i="14"/>
  <c r="AK8" i="14"/>
  <c r="BB8" i="14" s="1"/>
  <c r="BH8" i="14" s="1"/>
  <c r="AL11" i="14"/>
  <c r="AL29" i="14"/>
  <c r="AP24" i="14"/>
  <c r="AO24" i="14"/>
  <c r="BJ24" i="14"/>
  <c r="BK24" i="14" s="1"/>
  <c r="AH24" i="14"/>
  <c r="AY24" i="14" s="1"/>
  <c r="BE24" i="14" s="1"/>
  <c r="AG24" i="14"/>
  <c r="AN24" i="14"/>
  <c r="BC24" i="14" s="1"/>
  <c r="BI24" i="14" s="1"/>
  <c r="AO27" i="14"/>
  <c r="BJ27" i="14"/>
  <c r="BK27" i="14" s="1"/>
  <c r="AJ27" i="14"/>
  <c r="BA27" i="14" s="1"/>
  <c r="BG27" i="14" s="1"/>
  <c r="AH27" i="14"/>
  <c r="AY27" i="14" s="1"/>
  <c r="BE27" i="14" s="1"/>
  <c r="AP27" i="14"/>
  <c r="AT27" i="14"/>
  <c r="AR18" i="14"/>
  <c r="AK10" i="14"/>
  <c r="BB10" i="14" s="1"/>
  <c r="BH10" i="14" s="1"/>
  <c r="AJ24" i="14"/>
  <c r="BA24" i="14" s="1"/>
  <c r="BG24" i="14" s="1"/>
  <c r="AR25" i="14"/>
  <c r="AN21" i="14"/>
  <c r="BC21" i="14" s="1"/>
  <c r="BI21" i="14" s="1"/>
  <c r="AR32" i="14"/>
  <c r="AM10" i="14"/>
  <c r="BJ9" i="14"/>
  <c r="BK9" i="14" s="1"/>
  <c r="AT9" i="14"/>
  <c r="AP9" i="14"/>
  <c r="AO9" i="14"/>
  <c r="AU9" i="14" s="1"/>
  <c r="AW9" i="14" s="1"/>
  <c r="AN9" i="14"/>
  <c r="AH9" i="14"/>
  <c r="AG9" i="14"/>
  <c r="AM9" i="14"/>
  <c r="AS9" i="14"/>
  <c r="AJ9" i="14"/>
  <c r="AH31" i="14"/>
  <c r="AY31" i="14" s="1"/>
  <c r="BE31" i="14" s="1"/>
  <c r="AP31" i="14"/>
  <c r="AO31" i="14"/>
  <c r="AW31" i="14" s="1"/>
  <c r="AX31" i="14" s="1"/>
  <c r="BD31" i="14" s="1"/>
  <c r="AG31" i="14"/>
  <c r="BJ31" i="14"/>
  <c r="BK31" i="14" s="1"/>
  <c r="AI31" i="14"/>
  <c r="AZ31" i="14" s="1"/>
  <c r="BF31" i="14" s="1"/>
  <c r="AQ31" i="14"/>
  <c r="AJ31" i="14"/>
  <c r="BA31" i="14" s="1"/>
  <c r="BG31" i="14" s="1"/>
  <c r="AT31" i="14"/>
  <c r="AO30" i="14"/>
  <c r="AW30" i="14" s="1"/>
  <c r="AX30" i="14" s="1"/>
  <c r="BD30" i="14" s="1"/>
  <c r="BJ30" i="14"/>
  <c r="BK30" i="14" s="1"/>
  <c r="AH30" i="14"/>
  <c r="AY30" i="14" s="1"/>
  <c r="BE30" i="14" s="1"/>
  <c r="AG30" i="14"/>
  <c r="AP30" i="14"/>
  <c r="AN30" i="14"/>
  <c r="BC30" i="14" s="1"/>
  <c r="BI30" i="14" s="1"/>
  <c r="AG29" i="14"/>
  <c r="AO29" i="14"/>
  <c r="AW29" i="14" s="1"/>
  <c r="AX29" i="14" s="1"/>
  <c r="BD29" i="14" s="1"/>
  <c r="AJ29" i="14"/>
  <c r="BA29" i="14" s="1"/>
  <c r="BG29" i="14" s="1"/>
  <c r="BJ29" i="14"/>
  <c r="BK29" i="14" s="1"/>
  <c r="AN29" i="14"/>
  <c r="BC29" i="14" s="1"/>
  <c r="BI29" i="14" s="1"/>
  <c r="AH29" i="14"/>
  <c r="AY29" i="14" s="1"/>
  <c r="BE29" i="14" s="1"/>
  <c r="AT29" i="14"/>
  <c r="AP29" i="14"/>
  <c r="AK29" i="14"/>
  <c r="BB29" i="14" s="1"/>
  <c r="BH29" i="14" s="1"/>
  <c r="AK32" i="14"/>
  <c r="BB32" i="14" s="1"/>
  <c r="BH32" i="14" s="1"/>
  <c r="AL8" i="14"/>
  <c r="AS13" i="14"/>
  <c r="AI24" i="14"/>
  <c r="AZ24" i="14" s="1"/>
  <c r="BF24" i="14" s="1"/>
  <c r="AR9" i="14"/>
  <c r="AN31" i="14"/>
  <c r="BC31" i="14" s="1"/>
  <c r="BI31" i="14" s="1"/>
  <c r="AK15" i="14"/>
  <c r="BB15" i="14" s="1"/>
  <c r="BH15" i="14" s="1"/>
  <c r="AS11" i="14"/>
  <c r="AM32" i="14"/>
  <c r="AN19" i="14"/>
  <c r="BC19" i="14" s="1"/>
  <c r="BI19" i="14" s="1"/>
  <c r="AG17" i="14"/>
  <c r="AP17" i="14"/>
  <c r="AO17" i="14"/>
  <c r="AU17" i="14" s="1"/>
  <c r="AW17" i="14" s="1"/>
  <c r="AN17" i="14"/>
  <c r="BC17" i="14" s="1"/>
  <c r="BI17" i="14" s="1"/>
  <c r="AH17" i="14"/>
  <c r="AY17" i="14" s="1"/>
  <c r="BE17" i="14" s="1"/>
  <c r="AT17" i="14"/>
  <c r="AJ17" i="14"/>
  <c r="BA17" i="14" s="1"/>
  <c r="BG17" i="14" s="1"/>
  <c r="AM16" i="14"/>
  <c r="AM30" i="14"/>
  <c r="AR21" i="14"/>
  <c r="AK24" i="14"/>
  <c r="BB24" i="14" s="1"/>
  <c r="BH24" i="14" s="1"/>
  <c r="AI18" i="14"/>
  <c r="AO8" i="14"/>
  <c r="AN8" i="14"/>
  <c r="BC8" i="14" s="1"/>
  <c r="BI8" i="14" s="1"/>
  <c r="AP8" i="14"/>
  <c r="BJ8" i="14"/>
  <c r="BK8" i="14" s="1"/>
  <c r="AH8" i="14"/>
  <c r="AY8" i="14" s="1"/>
  <c r="BE8" i="14" s="1"/>
  <c r="AG8" i="14"/>
  <c r="AT8" i="14"/>
  <c r="AJ8" i="14"/>
  <c r="BA8" i="14" s="1"/>
  <c r="BG8" i="14" s="1"/>
  <c r="AI8" i="14"/>
  <c r="AZ8" i="14" s="1"/>
  <c r="BF8" i="14" s="1"/>
  <c r="AQ8" i="14"/>
  <c r="BB18" i="14"/>
  <c r="BH18" i="14" s="1"/>
  <c r="AI32" i="14"/>
  <c r="AZ32" i="14" s="1"/>
  <c r="BF32" i="14" s="1"/>
  <c r="AO32" i="14"/>
  <c r="BJ32" i="14"/>
  <c r="BK32" i="14" s="1"/>
  <c r="AG32" i="14"/>
  <c r="AW32" i="14" s="1"/>
  <c r="AX32" i="14" s="1"/>
  <c r="BD32" i="14" s="1"/>
  <c r="AT32" i="14"/>
  <c r="AN32" i="14"/>
  <c r="BC32" i="14" s="1"/>
  <c r="BI32" i="14" s="1"/>
  <c r="AH32" i="14"/>
  <c r="AY32" i="14" s="1"/>
  <c r="BE32" i="14" s="1"/>
  <c r="AJ32" i="14"/>
  <c r="BA32" i="14" s="1"/>
  <c r="BG32" i="14" s="1"/>
  <c r="AP32" i="14"/>
  <c r="AL9" i="14"/>
  <c r="BJ12" i="14"/>
  <c r="BK12" i="14" s="1"/>
  <c r="AJ12" i="14"/>
  <c r="BA12" i="14" s="1"/>
  <c r="BG12" i="14" s="1"/>
  <c r="AT12" i="14"/>
  <c r="AP12" i="14"/>
  <c r="AO12" i="14"/>
  <c r="AH12" i="14"/>
  <c r="AY12" i="14" s="1"/>
  <c r="BE12" i="14" s="1"/>
  <c r="AG12" i="14"/>
  <c r="AN12" i="14"/>
  <c r="BC12" i="14" s="1"/>
  <c r="BI12" i="14" s="1"/>
  <c r="AM13" i="14"/>
  <c r="AM23" i="14"/>
  <c r="AK9" i="14"/>
  <c r="AK13" i="14"/>
  <c r="AM12" i="14"/>
  <c r="AL14" i="14"/>
  <c r="AL22" i="14"/>
  <c r="BJ15" i="14"/>
  <c r="BK15" i="14" s="1"/>
  <c r="AP15" i="14"/>
  <c r="AO15" i="14"/>
  <c r="AH15" i="14"/>
  <c r="AY15" i="14" s="1"/>
  <c r="BE15" i="14" s="1"/>
  <c r="AG15" i="14"/>
  <c r="AN15" i="14"/>
  <c r="BC15" i="14" s="1"/>
  <c r="BI15" i="14" s="1"/>
  <c r="AO26" i="14"/>
  <c r="AU26" i="14" s="1"/>
  <c r="AW26" i="14" s="1"/>
  <c r="BJ26" i="14"/>
  <c r="BK26" i="14" s="1"/>
  <c r="AG26" i="14"/>
  <c r="H42" i="14" s="1"/>
  <c r="AP26" i="14"/>
  <c r="AJ26" i="14"/>
  <c r="AN26" i="14"/>
  <c r="AT26" i="14"/>
  <c r="AH26" i="14"/>
  <c r="AS8" i="14"/>
  <c r="AS16" i="14"/>
  <c r="AS30" i="14"/>
  <c r="AQ9" i="14"/>
  <c r="AM20" i="14"/>
  <c r="AI12" i="14"/>
  <c r="AZ12" i="14" s="1"/>
  <c r="BF12" i="14" s="1"/>
  <c r="AI20" i="14"/>
  <c r="AZ20" i="14" s="1"/>
  <c r="BF20" i="14" s="1"/>
  <c r="AQ18" i="14"/>
  <c r="AM15" i="14"/>
  <c r="BC18" i="14"/>
  <c r="BI18" i="14" s="1"/>
  <c r="AG11" i="14"/>
  <c r="AQ11" i="14"/>
  <c r="AP11" i="14"/>
  <c r="AO11" i="14"/>
  <c r="BJ11" i="14"/>
  <c r="BK11" i="14" s="1"/>
  <c r="AR11" i="14"/>
  <c r="S39" i="14" s="1"/>
  <c r="AK11" i="14"/>
  <c r="BB11" i="14" s="1"/>
  <c r="BH11" i="14" s="1"/>
  <c r="AN11" i="14"/>
  <c r="BC11" i="14" s="1"/>
  <c r="BI11" i="14" s="1"/>
  <c r="AH11" i="14"/>
  <c r="AY11" i="14" s="1"/>
  <c r="BE11" i="14" s="1"/>
  <c r="AI11" i="14"/>
  <c r="AZ11" i="14" s="1"/>
  <c r="BF11" i="14" s="1"/>
  <c r="AJ11" i="14"/>
  <c r="BA11" i="14" s="1"/>
  <c r="BG11" i="14" s="1"/>
  <c r="AT11" i="14"/>
  <c r="AO10" i="14"/>
  <c r="AU10" i="14" s="1"/>
  <c r="AW10" i="14" s="1"/>
  <c r="BJ10" i="14"/>
  <c r="BK10" i="14" s="1"/>
  <c r="AI10" i="14"/>
  <c r="AZ10" i="14" s="1"/>
  <c r="BF10" i="14" s="1"/>
  <c r="AG10" i="14"/>
  <c r="AQ10" i="14"/>
  <c r="AP10" i="14"/>
  <c r="AH10" i="14"/>
  <c r="AY10" i="14" s="1"/>
  <c r="BE10" i="14" s="1"/>
  <c r="AN10" i="14"/>
  <c r="BC10" i="14" s="1"/>
  <c r="BI10" i="14" s="1"/>
  <c r="AT10" i="14"/>
  <c r="AJ10" i="14"/>
  <c r="BA10" i="14" s="1"/>
  <c r="BG10" i="14" s="1"/>
  <c r="AK17" i="14"/>
  <c r="BB17" i="14" s="1"/>
  <c r="BH17" i="14" s="1"/>
  <c r="AM24" i="14"/>
  <c r="AR30" i="14"/>
  <c r="AK16" i="14"/>
  <c r="BB16" i="14" s="1"/>
  <c r="BH16" i="14" s="1"/>
  <c r="AG14" i="14"/>
  <c r="AP14" i="14"/>
  <c r="AO14" i="14"/>
  <c r="AN14" i="14"/>
  <c r="BC14" i="14" s="1"/>
  <c r="BI14" i="14" s="1"/>
  <c r="BJ14" i="14"/>
  <c r="BK14" i="14" s="1"/>
  <c r="AM14" i="14"/>
  <c r="AI14" i="14"/>
  <c r="AZ14" i="14" s="1"/>
  <c r="BF14" i="14" s="1"/>
  <c r="AJ14" i="14"/>
  <c r="BA14" i="14" s="1"/>
  <c r="BG14" i="14" s="1"/>
  <c r="AQ14" i="14"/>
  <c r="AS14" i="14"/>
  <c r="AH14" i="14"/>
  <c r="AY14" i="14" s="1"/>
  <c r="BE14" i="14" s="1"/>
  <c r="AT14" i="14"/>
  <c r="AM17" i="14"/>
  <c r="AK12" i="14"/>
  <c r="BB12" i="14" s="1"/>
  <c r="BH12" i="14" s="1"/>
  <c r="AL21" i="14"/>
  <c r="AL31" i="14"/>
  <c r="AL28" i="14"/>
  <c r="AG23" i="14"/>
  <c r="AO23" i="14"/>
  <c r="BJ23" i="14"/>
  <c r="BK23" i="14" s="1"/>
  <c r="AH23" i="14"/>
  <c r="AY23" i="14" s="1"/>
  <c r="BE23" i="14" s="1"/>
  <c r="AJ23" i="14"/>
  <c r="BA23" i="14" s="1"/>
  <c r="BG23" i="14" s="1"/>
  <c r="AP23" i="14"/>
  <c r="AT23" i="14"/>
  <c r="AI23" i="14"/>
  <c r="AZ23" i="14" s="1"/>
  <c r="BF23" i="14" s="1"/>
  <c r="AQ23" i="14"/>
  <c r="AG19" i="14"/>
  <c r="BJ19" i="14"/>
  <c r="BK19" i="14" s="1"/>
  <c r="AO19" i="14"/>
  <c r="AJ19" i="14"/>
  <c r="BA19" i="14" s="1"/>
  <c r="BG19" i="14" s="1"/>
  <c r="AT19" i="14"/>
  <c r="AH19" i="14"/>
  <c r="AY19" i="14" s="1"/>
  <c r="BE19" i="14" s="1"/>
  <c r="AP19" i="14"/>
  <c r="AM26" i="14"/>
  <c r="AS17" i="14"/>
  <c r="AK30" i="14"/>
  <c r="BB30" i="14" s="1"/>
  <c r="BH30" i="14" s="1"/>
  <c r="AI25" i="14"/>
  <c r="AZ25" i="14" s="1"/>
  <c r="BF25" i="14" s="1"/>
  <c r="AQ27" i="14"/>
  <c r="AQ29" i="14"/>
  <c r="AK22" i="14"/>
  <c r="AR16" i="14"/>
  <c r="AT30" i="14"/>
  <c r="AM8" i="14"/>
  <c r="AI9" i="14"/>
  <c r="AO13" i="14"/>
  <c r="AU13" i="14" s="1"/>
  <c r="AW13" i="14" s="1"/>
  <c r="AN13" i="14"/>
  <c r="BJ13" i="14"/>
  <c r="BK13" i="14" s="1"/>
  <c r="AG13" i="14"/>
  <c r="AJ13" i="14"/>
  <c r="AI13" i="14"/>
  <c r="AQ13" i="14"/>
  <c r="AT13" i="14"/>
  <c r="AP13" i="14"/>
  <c r="AH13" i="14"/>
  <c r="AO18" i="14"/>
  <c r="AU18" i="14" s="1"/>
  <c r="AW18" i="14" s="1"/>
  <c r="BJ18" i="14"/>
  <c r="BK18" i="14" s="1"/>
  <c r="AG18" i="14"/>
  <c r="AT18" i="14"/>
  <c r="AJ18" i="14"/>
  <c r="AH18" i="14"/>
  <c r="AP18" i="14"/>
  <c r="AK26" i="14"/>
  <c r="L42" i="14" s="1"/>
  <c r="AS28" i="14"/>
  <c r="AI27" i="14"/>
  <c r="AZ27" i="14" s="1"/>
  <c r="BF27" i="14" s="1"/>
  <c r="AK31" i="14"/>
  <c r="BB31" i="14" s="1"/>
  <c r="BH31" i="14" s="1"/>
  <c r="AJ30" i="14"/>
  <c r="BA30" i="14" s="1"/>
  <c r="BG30" i="14" s="1"/>
  <c r="R42" i="13"/>
  <c r="AI24" i="13"/>
  <c r="AY24" i="13" s="1"/>
  <c r="BE24" i="13" s="1"/>
  <c r="AG24" i="13"/>
  <c r="AI19" i="13"/>
  <c r="AY19" i="13" s="1"/>
  <c r="BE19" i="13" s="1"/>
  <c r="AK19" i="13"/>
  <c r="BA19" i="13" s="1"/>
  <c r="BG19" i="13" s="1"/>
  <c r="R40" i="13"/>
  <c r="AH17" i="13"/>
  <c r="AN17" i="13"/>
  <c r="AM17" i="13"/>
  <c r="AI17" i="13"/>
  <c r="U42" i="13"/>
  <c r="R39" i="13"/>
  <c r="AH13" i="13"/>
  <c r="AX13" i="13" s="1"/>
  <c r="BD13" i="13" s="1"/>
  <c r="AJ13" i="13"/>
  <c r="AZ13" i="13" s="1"/>
  <c r="BF13" i="13" s="1"/>
  <c r="S39" i="13"/>
  <c r="U39" i="13"/>
  <c r="T38" i="13"/>
  <c r="S38" i="13"/>
  <c r="R38" i="13"/>
  <c r="AG14" i="13"/>
  <c r="AG23" i="13"/>
  <c r="AG18" i="13"/>
  <c r="AI18" i="13"/>
  <c r="AY18" i="13" s="1"/>
  <c r="BE18" i="13" s="1"/>
  <c r="AH29" i="13"/>
  <c r="AK14" i="13"/>
  <c r="BA14" i="13" s="1"/>
  <c r="BG14" i="13" s="1"/>
  <c r="AN19" i="13"/>
  <c r="BB19" i="13" s="1"/>
  <c r="BH19" i="13" s="1"/>
  <c r="AN22" i="13"/>
  <c r="V38" i="13"/>
  <c r="AK23" i="13"/>
  <c r="BA23" i="13" s="1"/>
  <c r="BG23" i="13" s="1"/>
  <c r="AG20" i="13"/>
  <c r="AK18" i="13"/>
  <c r="BA18" i="13" s="1"/>
  <c r="BG18" i="13" s="1"/>
  <c r="AG12" i="13"/>
  <c r="AK17" i="13"/>
  <c r="AJ16" i="13"/>
  <c r="AZ16" i="13" s="1"/>
  <c r="BF16" i="13" s="1"/>
  <c r="AH10" i="13"/>
  <c r="AX10" i="13" s="1"/>
  <c r="BD10" i="13" s="1"/>
  <c r="AJ23" i="13"/>
  <c r="AZ23" i="13" s="1"/>
  <c r="BF23" i="13" s="1"/>
  <c r="AG19" i="13"/>
  <c r="AK22" i="13"/>
  <c r="BA22" i="13" s="1"/>
  <c r="BG22" i="13" s="1"/>
  <c r="AG17" i="13"/>
  <c r="AH14" i="13"/>
  <c r="AX14" i="13" s="1"/>
  <c r="BD14" i="13" s="1"/>
  <c r="AN25" i="13"/>
  <c r="BB25" i="13" s="1"/>
  <c r="BH25" i="13" s="1"/>
  <c r="AM28" i="13"/>
  <c r="AG28" i="13"/>
  <c r="AM14" i="13"/>
  <c r="AM24" i="13"/>
  <c r="BA13" i="13"/>
  <c r="BG13" i="13" s="1"/>
  <c r="AX18" i="13"/>
  <c r="BD18" i="13" s="1"/>
  <c r="AL11" i="13"/>
  <c r="AK11" i="13"/>
  <c r="BA11" i="13" s="1"/>
  <c r="BG11" i="13" s="1"/>
  <c r="AM11" i="13"/>
  <c r="AM30" i="13"/>
  <c r="AI8" i="13"/>
  <c r="AY8" i="13" s="1"/>
  <c r="BE8" i="13" s="1"/>
  <c r="AI29" i="13"/>
  <c r="Q41" i="13"/>
  <c r="AV22" i="13"/>
  <c r="AK27" i="13"/>
  <c r="BA27" i="13" s="1"/>
  <c r="BG27" i="13" s="1"/>
  <c r="AN12" i="13"/>
  <c r="BB12" i="13" s="1"/>
  <c r="BH12" i="13" s="1"/>
  <c r="V39" i="13"/>
  <c r="AI14" i="13"/>
  <c r="AY14" i="13" s="1"/>
  <c r="BE14" i="13" s="1"/>
  <c r="AW23" i="13"/>
  <c r="BC23" i="13" s="1"/>
  <c r="BB26" i="13"/>
  <c r="BH26" i="13" s="1"/>
  <c r="M42" i="13"/>
  <c r="AJ22" i="13"/>
  <c r="AG27" i="13"/>
  <c r="AL21" i="13"/>
  <c r="G41" i="13" s="1"/>
  <c r="AK21" i="13"/>
  <c r="BA21" i="13" s="1"/>
  <c r="BG21" i="13" s="1"/>
  <c r="AH21" i="13"/>
  <c r="AX21" i="13" s="1"/>
  <c r="BD21" i="13" s="1"/>
  <c r="AJ27" i="13"/>
  <c r="AZ27" i="13" s="1"/>
  <c r="BF27" i="13" s="1"/>
  <c r="AY9" i="13"/>
  <c r="BE9" i="13" s="1"/>
  <c r="AL30" i="13"/>
  <c r="AH30" i="13"/>
  <c r="AW9" i="13"/>
  <c r="BC9" i="13" s="1"/>
  <c r="AM22" i="13"/>
  <c r="AL15" i="13"/>
  <c r="AJ15" i="13"/>
  <c r="AZ15" i="13" s="1"/>
  <c r="BF15" i="13" s="1"/>
  <c r="AN11" i="13"/>
  <c r="BB11" i="13" s="1"/>
  <c r="BH11" i="13" s="1"/>
  <c r="T42" i="13"/>
  <c r="U41" i="13"/>
  <c r="AJ20" i="13"/>
  <c r="AZ20" i="13" s="1"/>
  <c r="BF20" i="13" s="1"/>
  <c r="AG21" i="13"/>
  <c r="S40" i="13"/>
  <c r="AM32" i="13"/>
  <c r="AI28" i="13"/>
  <c r="AY28" i="13" s="1"/>
  <c r="BE28" i="13" s="1"/>
  <c r="S41" i="13"/>
  <c r="AL13" i="13"/>
  <c r="AN13" i="13"/>
  <c r="AI27" i="13"/>
  <c r="AY27" i="13" s="1"/>
  <c r="BE27" i="13" s="1"/>
  <c r="AH11" i="13"/>
  <c r="AX11" i="13" s="1"/>
  <c r="BD11" i="13" s="1"/>
  <c r="AH20" i="13"/>
  <c r="AX20" i="13" s="1"/>
  <c r="BD20" i="13" s="1"/>
  <c r="AI32" i="13"/>
  <c r="AG13" i="13"/>
  <c r="AH8" i="13"/>
  <c r="AX8" i="13" s="1"/>
  <c r="BD8" i="13" s="1"/>
  <c r="W40" i="13"/>
  <c r="AW18" i="13"/>
  <c r="BC18" i="13" s="1"/>
  <c r="X40" i="13" s="1"/>
  <c r="AL9" i="13"/>
  <c r="AK9" i="13"/>
  <c r="AK29" i="13"/>
  <c r="AI21" i="13"/>
  <c r="AY21" i="13" s="1"/>
  <c r="BE21" i="13" s="1"/>
  <c r="Q39" i="13"/>
  <c r="AV13" i="13"/>
  <c r="AL25" i="13"/>
  <c r="G42" i="13" s="1"/>
  <c r="AH25" i="13"/>
  <c r="AX25" i="13" s="1"/>
  <c r="BD25" i="13" s="1"/>
  <c r="U38" i="13"/>
  <c r="AN20" i="13"/>
  <c r="BB20" i="13" s="1"/>
  <c r="BH20" i="13" s="1"/>
  <c r="U40" i="13"/>
  <c r="AN23" i="13"/>
  <c r="BB23" i="13" s="1"/>
  <c r="BH23" i="13" s="1"/>
  <c r="AL19" i="13"/>
  <c r="AH19" i="13"/>
  <c r="AX19" i="13" s="1"/>
  <c r="BD19" i="13" s="1"/>
  <c r="AG11" i="13"/>
  <c r="T40" i="13"/>
  <c r="AI12" i="13"/>
  <c r="AY12" i="13" s="1"/>
  <c r="BE12" i="13" s="1"/>
  <c r="AJ18" i="13"/>
  <c r="AI31" i="13"/>
  <c r="AH9" i="13"/>
  <c r="T39" i="13"/>
  <c r="AI20" i="13"/>
  <c r="AY20" i="13" s="1"/>
  <c r="BE20" i="13" s="1"/>
  <c r="AN24" i="13"/>
  <c r="BB24" i="13" s="1"/>
  <c r="BH24" i="13" s="1"/>
  <c r="AH31" i="13"/>
  <c r="AH27" i="13"/>
  <c r="AX27" i="13" s="1"/>
  <c r="BD27" i="13" s="1"/>
  <c r="AK26" i="13"/>
  <c r="AK8" i="13"/>
  <c r="BA8" i="13" s="1"/>
  <c r="BG8" i="13" s="1"/>
  <c r="AN8" i="13"/>
  <c r="BB8" i="13" s="1"/>
  <c r="BH8" i="13" s="1"/>
  <c r="AY26" i="13"/>
  <c r="BE26" i="13" s="1"/>
  <c r="AI11" i="13"/>
  <c r="AY11" i="13" s="1"/>
  <c r="BE11" i="13" s="1"/>
  <c r="AN21" i="13"/>
  <c r="BB21" i="13" s="1"/>
  <c r="BH21" i="13" s="1"/>
  <c r="AV26" i="13"/>
  <c r="AW26" i="13" s="1"/>
  <c r="BC26" i="13" s="1"/>
  <c r="Q42" i="13"/>
  <c r="AH28" i="13"/>
  <c r="AX28" i="13" s="1"/>
  <c r="BD28" i="13" s="1"/>
  <c r="AM15" i="13"/>
  <c r="AN15" i="13"/>
  <c r="BB15" i="13" s="1"/>
  <c r="BH15" i="13" s="1"/>
  <c r="S42" i="13"/>
  <c r="AL10" i="13"/>
  <c r="AM10" i="13"/>
  <c r="AK10" i="13"/>
  <c r="BA10" i="13" s="1"/>
  <c r="BG10" i="13" s="1"/>
  <c r="R41" i="13"/>
  <c r="AG25" i="13"/>
  <c r="AM13" i="13"/>
  <c r="AJ8" i="13"/>
  <c r="AZ8" i="13" s="1"/>
  <c r="BF8" i="13" s="1"/>
  <c r="AJ19" i="13"/>
  <c r="AZ19" i="13" s="1"/>
  <c r="BF19" i="13" s="1"/>
  <c r="AX22" i="13"/>
  <c r="BD22" i="13" s="1"/>
  <c r="AJ26" i="13"/>
  <c r="AJ11" i="13"/>
  <c r="AZ11" i="13" s="1"/>
  <c r="BF11" i="13" s="1"/>
  <c r="AG26" i="13"/>
  <c r="AG30" i="13"/>
  <c r="AG15" i="13"/>
  <c r="AL18" i="13"/>
  <c r="AN18" i="13"/>
  <c r="AI22" i="13"/>
  <c r="V40" i="13"/>
  <c r="AI23" i="13"/>
  <c r="AY23" i="13" s="1"/>
  <c r="BE23" i="13" s="1"/>
  <c r="AJ14" i="13"/>
  <c r="AZ14" i="13" s="1"/>
  <c r="BF14" i="13" s="1"/>
  <c r="AI15" i="13"/>
  <c r="AY15" i="13" s="1"/>
  <c r="BE15" i="13" s="1"/>
  <c r="AM29" i="13"/>
  <c r="T41" i="13"/>
  <c r="AK28" i="13"/>
  <c r="BA28" i="13" s="1"/>
  <c r="BG28" i="13" s="1"/>
  <c r="AM18" i="13"/>
  <c r="N40" i="13" s="1"/>
  <c r="Q40" i="13"/>
  <c r="AV17" i="13"/>
  <c r="AW17" i="13" s="1"/>
  <c r="AG16" i="13"/>
  <c r="AM8" i="13"/>
  <c r="AK24" i="13"/>
  <c r="BA24" i="13" s="1"/>
  <c r="BG24" i="13" s="1"/>
  <c r="AY13" i="13"/>
  <c r="BE13" i="13" s="1"/>
  <c r="AZ9" i="13"/>
  <c r="BF9" i="13" s="1"/>
  <c r="AG29" i="13"/>
  <c r="AM27" i="13"/>
  <c r="AL12" i="13"/>
  <c r="AH12" i="13"/>
  <c r="AX12" i="13" s="1"/>
  <c r="BD12" i="13" s="1"/>
  <c r="AJ12" i="13"/>
  <c r="AZ12" i="13" s="1"/>
  <c r="BF12" i="13" s="1"/>
  <c r="AN9" i="13"/>
  <c r="AJ29" i="13"/>
  <c r="V41" i="13"/>
  <c r="Q38" i="13"/>
  <c r="AV10" i="13"/>
  <c r="AW10" i="13" s="1"/>
  <c r="BC10" i="13" s="1"/>
  <c r="AG22" i="13"/>
  <c r="AJ25" i="13"/>
  <c r="AZ25" i="13" s="1"/>
  <c r="BF25" i="13" s="1"/>
  <c r="AG8" i="13"/>
  <c r="AM26" i="13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8" i="12"/>
  <c r="F2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8" i="3"/>
  <c r="F15" i="7"/>
  <c r="F16" i="7"/>
  <c r="F17" i="7"/>
  <c r="F18" i="7"/>
  <c r="F14" i="7"/>
  <c r="C18" i="7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8" i="3"/>
  <c r="X38" i="18" l="1"/>
  <c r="W38" i="18"/>
  <c r="W39" i="18"/>
  <c r="AX13" i="18"/>
  <c r="BD13" i="18" s="1"/>
  <c r="X39" i="18" s="1"/>
  <c r="W40" i="18"/>
  <c r="AX18" i="18"/>
  <c r="BD18" i="18" s="1"/>
  <c r="X40" i="18" s="1"/>
  <c r="AX22" i="18"/>
  <c r="BD22" i="18" s="1"/>
  <c r="W41" i="18"/>
  <c r="W42" i="18"/>
  <c r="AX23" i="18"/>
  <c r="BD23" i="18" s="1"/>
  <c r="X42" i="18" s="1"/>
  <c r="M42" i="14"/>
  <c r="AX24" i="14"/>
  <c r="BD24" i="14" s="1"/>
  <c r="AU24" i="14"/>
  <c r="AW24" i="14" s="1"/>
  <c r="AV34" i="14"/>
  <c r="AU23" i="14"/>
  <c r="AW23" i="14" s="1"/>
  <c r="AD22" i="3"/>
  <c r="AD9" i="3"/>
  <c r="AU19" i="14"/>
  <c r="AW19" i="14" s="1"/>
  <c r="AX19" i="14" s="1"/>
  <c r="BD19" i="14" s="1"/>
  <c r="F39" i="17"/>
  <c r="F19" i="7"/>
  <c r="AD13" i="3" s="1"/>
  <c r="AD20" i="3"/>
  <c r="AD28" i="3"/>
  <c r="M38" i="17"/>
  <c r="AX25" i="14"/>
  <c r="BD25" i="14" s="1"/>
  <c r="AU25" i="14"/>
  <c r="AW25" i="14" s="1"/>
  <c r="AD18" i="3"/>
  <c r="AX11" i="14"/>
  <c r="BD11" i="14" s="1"/>
  <c r="AU11" i="14"/>
  <c r="AW11" i="14" s="1"/>
  <c r="AU27" i="14"/>
  <c r="AW27" i="14" s="1"/>
  <c r="AX27" i="14" s="1"/>
  <c r="BD27" i="14" s="1"/>
  <c r="AD12" i="3"/>
  <c r="AX20" i="14"/>
  <c r="BD20" i="14" s="1"/>
  <c r="AU20" i="14"/>
  <c r="AW20" i="14" s="1"/>
  <c r="AU28" i="14"/>
  <c r="AW28" i="14" s="1"/>
  <c r="AX28" i="14" s="1"/>
  <c r="BD28" i="14" s="1"/>
  <c r="AU15" i="14"/>
  <c r="AW15" i="14" s="1"/>
  <c r="AX15" i="14" s="1"/>
  <c r="BD15" i="14" s="1"/>
  <c r="AX16" i="14"/>
  <c r="BD16" i="14" s="1"/>
  <c r="AU16" i="14"/>
  <c r="AW16" i="14" s="1"/>
  <c r="R39" i="17"/>
  <c r="AU14" i="14"/>
  <c r="AW14" i="14" s="1"/>
  <c r="AX14" i="14" s="1"/>
  <c r="BD14" i="14" s="1"/>
  <c r="AD8" i="3"/>
  <c r="AU12" i="14"/>
  <c r="AW12" i="14" s="1"/>
  <c r="AX12" i="14" s="1"/>
  <c r="BD12" i="14" s="1"/>
  <c r="AD25" i="3"/>
  <c r="AU8" i="14"/>
  <c r="AW8" i="14" s="1"/>
  <c r="AX8" i="14" s="1"/>
  <c r="BD8" i="14" s="1"/>
  <c r="AU22" i="14"/>
  <c r="AW22" i="14" s="1"/>
  <c r="AU21" i="14"/>
  <c r="AW21" i="14" s="1"/>
  <c r="W40" i="14" s="1"/>
  <c r="R38" i="17"/>
  <c r="F40" i="17"/>
  <c r="T40" i="17"/>
  <c r="T38" i="17"/>
  <c r="T42" i="17"/>
  <c r="S41" i="17"/>
  <c r="S40" i="17"/>
  <c r="G42" i="17"/>
  <c r="P41" i="17"/>
  <c r="I40" i="17"/>
  <c r="P39" i="17"/>
  <c r="J38" i="17"/>
  <c r="R42" i="17"/>
  <c r="K38" i="17"/>
  <c r="M42" i="17"/>
  <c r="P40" i="17"/>
  <c r="J40" i="17"/>
  <c r="K40" i="17"/>
  <c r="M40" i="17"/>
  <c r="T39" i="17"/>
  <c r="P42" i="17"/>
  <c r="J42" i="17"/>
  <c r="T41" i="17"/>
  <c r="M41" i="17"/>
  <c r="L41" i="17"/>
  <c r="I39" i="17"/>
  <c r="S39" i="17"/>
  <c r="F38" i="17"/>
  <c r="K41" i="17"/>
  <c r="J41" i="17"/>
  <c r="P38" i="17"/>
  <c r="I41" i="17"/>
  <c r="L42" i="17"/>
  <c r="R41" i="17"/>
  <c r="K39" i="17"/>
  <c r="I38" i="17"/>
  <c r="G39" i="17"/>
  <c r="L40" i="17"/>
  <c r="L38" i="17"/>
  <c r="G41" i="17"/>
  <c r="F42" i="17"/>
  <c r="K42" i="17"/>
  <c r="M39" i="17"/>
  <c r="S42" i="17"/>
  <c r="I42" i="17"/>
  <c r="J39" i="17"/>
  <c r="F41" i="17"/>
  <c r="L39" i="17"/>
  <c r="G40" i="17"/>
  <c r="R40" i="17"/>
  <c r="I42" i="14"/>
  <c r="R39" i="14"/>
  <c r="S41" i="14"/>
  <c r="K42" i="14"/>
  <c r="R41" i="14"/>
  <c r="G42" i="14"/>
  <c r="Q42" i="14"/>
  <c r="R42" i="14"/>
  <c r="N42" i="14"/>
  <c r="J42" i="14"/>
  <c r="N41" i="14"/>
  <c r="G41" i="14"/>
  <c r="U42" i="14"/>
  <c r="L40" i="14"/>
  <c r="R40" i="14"/>
  <c r="N40" i="14"/>
  <c r="G40" i="14"/>
  <c r="M40" i="14"/>
  <c r="G39" i="14"/>
  <c r="T42" i="14"/>
  <c r="S42" i="14"/>
  <c r="U41" i="14"/>
  <c r="U40" i="14"/>
  <c r="T40" i="14"/>
  <c r="U39" i="14"/>
  <c r="T39" i="14"/>
  <c r="R38" i="14"/>
  <c r="V42" i="14"/>
  <c r="BB26" i="14"/>
  <c r="BH26" i="14" s="1"/>
  <c r="AZ9" i="14"/>
  <c r="BF9" i="14" s="1"/>
  <c r="J38" i="14"/>
  <c r="AX26" i="14"/>
  <c r="BD26" i="14" s="1"/>
  <c r="L38" i="14"/>
  <c r="BB9" i="14"/>
  <c r="BH9" i="14" s="1"/>
  <c r="G38" i="14"/>
  <c r="Q40" i="14"/>
  <c r="AX17" i="14"/>
  <c r="BD17" i="14" s="1"/>
  <c r="H38" i="14"/>
  <c r="M41" i="14"/>
  <c r="BC22" i="14"/>
  <c r="BI22" i="14" s="1"/>
  <c r="AY9" i="14"/>
  <c r="BE9" i="14" s="1"/>
  <c r="I38" i="14"/>
  <c r="Q39" i="14"/>
  <c r="V41" i="14"/>
  <c r="I40" i="14"/>
  <c r="AY18" i="14"/>
  <c r="BE18" i="14" s="1"/>
  <c r="J39" i="14"/>
  <c r="AZ13" i="14"/>
  <c r="BF13" i="14" s="1"/>
  <c r="N39" i="14"/>
  <c r="AZ18" i="14"/>
  <c r="BF18" i="14" s="1"/>
  <c r="J40" i="14"/>
  <c r="T41" i="14"/>
  <c r="M38" i="14"/>
  <c r="BC9" i="14"/>
  <c r="BI9" i="14" s="1"/>
  <c r="H41" i="14"/>
  <c r="AX9" i="14"/>
  <c r="BD9" i="14" s="1"/>
  <c r="K41" i="14"/>
  <c r="BA22" i="14"/>
  <c r="BG22" i="14" s="1"/>
  <c r="I41" i="14"/>
  <c r="AY22" i="14"/>
  <c r="BE22" i="14" s="1"/>
  <c r="BA18" i="14"/>
  <c r="BG18" i="14" s="1"/>
  <c r="K40" i="14"/>
  <c r="AX23" i="14"/>
  <c r="BD23" i="14" s="1"/>
  <c r="H39" i="14"/>
  <c r="AY26" i="14"/>
  <c r="BE26" i="14" s="1"/>
  <c r="Q41" i="14"/>
  <c r="Q38" i="14"/>
  <c r="AX10" i="14"/>
  <c r="BD10" i="14" s="1"/>
  <c r="K39" i="14"/>
  <c r="BA13" i="14"/>
  <c r="BG13" i="14" s="1"/>
  <c r="L41" i="14"/>
  <c r="BB22" i="14"/>
  <c r="BH22" i="14" s="1"/>
  <c r="V40" i="14"/>
  <c r="J41" i="14"/>
  <c r="U38" i="14"/>
  <c r="H40" i="14"/>
  <c r="M39" i="14"/>
  <c r="BC13" i="14"/>
  <c r="BI13" i="14" s="1"/>
  <c r="V38" i="14"/>
  <c r="T38" i="14"/>
  <c r="BC26" i="14"/>
  <c r="BI26" i="14" s="1"/>
  <c r="AX18" i="14"/>
  <c r="BD18" i="14" s="1"/>
  <c r="BA26" i="14"/>
  <c r="BG26" i="14" s="1"/>
  <c r="K38" i="14"/>
  <c r="BA9" i="14"/>
  <c r="BG9" i="14" s="1"/>
  <c r="I39" i="14"/>
  <c r="AY13" i="14"/>
  <c r="BE13" i="14" s="1"/>
  <c r="V39" i="14"/>
  <c r="L39" i="14"/>
  <c r="BB13" i="14"/>
  <c r="BH13" i="14" s="1"/>
  <c r="N38" i="14"/>
  <c r="S38" i="14"/>
  <c r="N42" i="13"/>
  <c r="H42" i="13"/>
  <c r="I41" i="13"/>
  <c r="H41" i="13"/>
  <c r="N41" i="13"/>
  <c r="M41" i="13"/>
  <c r="BB22" i="13"/>
  <c r="BH22" i="13" s="1"/>
  <c r="H40" i="13"/>
  <c r="G40" i="13"/>
  <c r="J39" i="13"/>
  <c r="I39" i="13"/>
  <c r="H39" i="13"/>
  <c r="L39" i="13"/>
  <c r="N39" i="13"/>
  <c r="H38" i="13"/>
  <c r="N38" i="13"/>
  <c r="K42" i="13"/>
  <c r="AZ26" i="13"/>
  <c r="BF26" i="13" s="1"/>
  <c r="K38" i="13"/>
  <c r="L42" i="13"/>
  <c r="BA26" i="13"/>
  <c r="BG26" i="13" s="1"/>
  <c r="K39" i="13"/>
  <c r="BA9" i="13"/>
  <c r="BG9" i="13" s="1"/>
  <c r="L38" i="13"/>
  <c r="J38" i="13"/>
  <c r="G38" i="13"/>
  <c r="BB18" i="13"/>
  <c r="BH18" i="13" s="1"/>
  <c r="M40" i="13"/>
  <c r="I38" i="13"/>
  <c r="AX9" i="13"/>
  <c r="BD9" i="13" s="1"/>
  <c r="I42" i="13"/>
  <c r="G39" i="13"/>
  <c r="L40" i="13"/>
  <c r="W42" i="13"/>
  <c r="M38" i="13"/>
  <c r="BB9" i="13"/>
  <c r="BH9" i="13" s="1"/>
  <c r="X42" i="13"/>
  <c r="AZ18" i="13"/>
  <c r="BF18" i="13" s="1"/>
  <c r="K40" i="13"/>
  <c r="W39" i="13"/>
  <c r="AW13" i="13"/>
  <c r="BC13" i="13" s="1"/>
  <c r="X39" i="13" s="1"/>
  <c r="L41" i="13"/>
  <c r="J40" i="13"/>
  <c r="I40" i="13"/>
  <c r="J41" i="13"/>
  <c r="AY22" i="13"/>
  <c r="BE22" i="13" s="1"/>
  <c r="J42" i="13"/>
  <c r="X38" i="13"/>
  <c r="M39" i="13"/>
  <c r="BB13" i="13"/>
  <c r="BH13" i="13" s="1"/>
  <c r="W38" i="13"/>
  <c r="K41" i="13"/>
  <c r="AZ22" i="13"/>
  <c r="BF22" i="13" s="1"/>
  <c r="W41" i="13"/>
  <c r="AW22" i="13"/>
  <c r="BC22" i="13" s="1"/>
  <c r="X41" i="13" s="1"/>
  <c r="C37" i="12"/>
  <c r="AC32" i="12"/>
  <c r="W32" i="12"/>
  <c r="U32" i="12"/>
  <c r="AC31" i="12"/>
  <c r="W31" i="12"/>
  <c r="U31" i="12"/>
  <c r="AC30" i="12"/>
  <c r="W30" i="12"/>
  <c r="U30" i="12"/>
  <c r="AC29" i="12"/>
  <c r="W29" i="12"/>
  <c r="U29" i="12"/>
  <c r="AC28" i="12"/>
  <c r="W28" i="12"/>
  <c r="U28" i="12"/>
  <c r="D28" i="12"/>
  <c r="D31" i="12" s="1"/>
  <c r="AC27" i="12"/>
  <c r="W27" i="12"/>
  <c r="U27" i="12"/>
  <c r="AC26" i="12"/>
  <c r="W26" i="12"/>
  <c r="U26" i="12"/>
  <c r="AC25" i="12"/>
  <c r="W25" i="12"/>
  <c r="U25" i="12"/>
  <c r="C25" i="12"/>
  <c r="C26" i="12" s="1"/>
  <c r="AC24" i="12"/>
  <c r="W24" i="12"/>
  <c r="U24" i="12"/>
  <c r="AC23" i="12"/>
  <c r="W23" i="12"/>
  <c r="U23" i="12"/>
  <c r="AC22" i="12"/>
  <c r="W22" i="12"/>
  <c r="U22" i="12"/>
  <c r="C22" i="12"/>
  <c r="C23" i="12" s="1"/>
  <c r="AC21" i="12"/>
  <c r="W21" i="12"/>
  <c r="U21" i="12"/>
  <c r="AC20" i="12"/>
  <c r="W20" i="12"/>
  <c r="U20" i="12"/>
  <c r="AC19" i="12"/>
  <c r="W19" i="12"/>
  <c r="U19" i="12"/>
  <c r="D19" i="12"/>
  <c r="AD20" i="12" s="1"/>
  <c r="AC18" i="12"/>
  <c r="W18" i="12"/>
  <c r="U18" i="12"/>
  <c r="E18" i="12"/>
  <c r="AC17" i="12"/>
  <c r="W17" i="12"/>
  <c r="U17" i="12"/>
  <c r="AC16" i="12"/>
  <c r="W16" i="12"/>
  <c r="U16" i="12"/>
  <c r="E16" i="12"/>
  <c r="AC15" i="12"/>
  <c r="W15" i="12"/>
  <c r="U15" i="12"/>
  <c r="D15" i="12"/>
  <c r="AC14" i="12"/>
  <c r="W14" i="12"/>
  <c r="U14" i="12"/>
  <c r="D14" i="12"/>
  <c r="AD13" i="12"/>
  <c r="AC13" i="12"/>
  <c r="W13" i="12"/>
  <c r="U13" i="12"/>
  <c r="D13" i="12"/>
  <c r="Y9" i="12" s="1"/>
  <c r="AC12" i="12"/>
  <c r="W12" i="12"/>
  <c r="U12" i="12"/>
  <c r="D12" i="12"/>
  <c r="X24" i="12" s="1"/>
  <c r="AC11" i="12"/>
  <c r="W11" i="12"/>
  <c r="U11" i="12"/>
  <c r="E11" i="12"/>
  <c r="AC10" i="12"/>
  <c r="W10" i="12"/>
  <c r="U10" i="12"/>
  <c r="AC9" i="12"/>
  <c r="W9" i="12"/>
  <c r="U9" i="12"/>
  <c r="E9" i="12"/>
  <c r="AC8" i="12"/>
  <c r="W8" i="12"/>
  <c r="U8" i="12"/>
  <c r="AC7" i="12"/>
  <c r="W7" i="12"/>
  <c r="U7" i="12"/>
  <c r="AD6" i="12"/>
  <c r="AC6" i="12"/>
  <c r="W6" i="12"/>
  <c r="U6" i="12"/>
  <c r="AC5" i="12"/>
  <c r="W5" i="12"/>
  <c r="U5" i="12"/>
  <c r="X41" i="18" l="1"/>
  <c r="AD21" i="3"/>
  <c r="AD23" i="3"/>
  <c r="AX21" i="14"/>
  <c r="BD21" i="14" s="1"/>
  <c r="AD14" i="3"/>
  <c r="AD26" i="3"/>
  <c r="AD17" i="3"/>
  <c r="AD10" i="3"/>
  <c r="AD11" i="3"/>
  <c r="AD27" i="17"/>
  <c r="AD24" i="17"/>
  <c r="AD22" i="17"/>
  <c r="AD8" i="17"/>
  <c r="AD12" i="17"/>
  <c r="AD23" i="17"/>
  <c r="AD19" i="17"/>
  <c r="AD16" i="17"/>
  <c r="AD17" i="17"/>
  <c r="AD21" i="17"/>
  <c r="AD20" i="17"/>
  <c r="AD26" i="17"/>
  <c r="AD14" i="17"/>
  <c r="AD28" i="17"/>
  <c r="AD15" i="17"/>
  <c r="AD10" i="17"/>
  <c r="AD13" i="17"/>
  <c r="AD11" i="17"/>
  <c r="AD25" i="17"/>
  <c r="AD9" i="17"/>
  <c r="AD18" i="17"/>
  <c r="X40" i="14"/>
  <c r="AD15" i="3"/>
  <c r="AD27" i="3"/>
  <c r="AD24" i="3"/>
  <c r="AD19" i="3"/>
  <c r="AD16" i="3"/>
  <c r="Z26" i="12"/>
  <c r="Z28" i="12"/>
  <c r="AB12" i="12"/>
  <c r="AB28" i="12"/>
  <c r="Z9" i="12"/>
  <c r="Z14" i="12"/>
  <c r="Z12" i="12"/>
  <c r="W42" i="14"/>
  <c r="X42" i="14"/>
  <c r="W41" i="14"/>
  <c r="AX22" i="14"/>
  <c r="BD22" i="14" s="1"/>
  <c r="X41" i="14" s="1"/>
  <c r="W38" i="14"/>
  <c r="X38" i="14"/>
  <c r="W39" i="14"/>
  <c r="AX13" i="14"/>
  <c r="BD13" i="14" s="1"/>
  <c r="X39" i="14" s="1"/>
  <c r="AD8" i="12"/>
  <c r="AD11" i="12"/>
  <c r="Z6" i="12"/>
  <c r="Z10" i="12"/>
  <c r="Z13" i="12"/>
  <c r="AD15" i="12"/>
  <c r="AD21" i="12"/>
  <c r="AD5" i="12"/>
  <c r="Z7" i="12"/>
  <c r="Z8" i="12"/>
  <c r="AD9" i="12"/>
  <c r="Z11" i="12"/>
  <c r="AD16" i="12"/>
  <c r="AD18" i="12"/>
  <c r="AD23" i="12"/>
  <c r="AD28" i="12"/>
  <c r="E14" i="12"/>
  <c r="Z5" i="12"/>
  <c r="Z16" i="12"/>
  <c r="Y27" i="12"/>
  <c r="Y10" i="12"/>
  <c r="Y12" i="12"/>
  <c r="Z22" i="12"/>
  <c r="X5" i="12"/>
  <c r="E12" i="12"/>
  <c r="X27" i="12"/>
  <c r="D17" i="12"/>
  <c r="AA15" i="12" s="1"/>
  <c r="Z27" i="12"/>
  <c r="Z29" i="12"/>
  <c r="X22" i="12"/>
  <c r="X20" i="12"/>
  <c r="X9" i="12"/>
  <c r="X12" i="12"/>
  <c r="AD31" i="12"/>
  <c r="Z15" i="12"/>
  <c r="X25" i="12"/>
  <c r="AD29" i="12"/>
  <c r="X6" i="12"/>
  <c r="X8" i="12"/>
  <c r="Y19" i="12"/>
  <c r="X32" i="12"/>
  <c r="D10" i="12"/>
  <c r="V10" i="12" s="1"/>
  <c r="X11" i="12"/>
  <c r="X17" i="12"/>
  <c r="Z19" i="12"/>
  <c r="Z32" i="12"/>
  <c r="X14" i="12"/>
  <c r="X30" i="12"/>
  <c r="X7" i="12"/>
  <c r="X13" i="12"/>
  <c r="Y14" i="12"/>
  <c r="AD26" i="12"/>
  <c r="Z30" i="12"/>
  <c r="X19" i="12"/>
  <c r="X10" i="12"/>
  <c r="Z24" i="12"/>
  <c r="AB21" i="12"/>
  <c r="Y8" i="12"/>
  <c r="AB14" i="12"/>
  <c r="AB26" i="12"/>
  <c r="Y5" i="12"/>
  <c r="E15" i="12"/>
  <c r="Y16" i="12"/>
  <c r="Y32" i="12"/>
  <c r="AB29" i="12"/>
  <c r="AB5" i="12"/>
  <c r="V15" i="12"/>
  <c r="AB31" i="12"/>
  <c r="AB23" i="12"/>
  <c r="AB18" i="12"/>
  <c r="AB9" i="12"/>
  <c r="AB6" i="12"/>
  <c r="AB15" i="12"/>
  <c r="AB13" i="12"/>
  <c r="AB11" i="12"/>
  <c r="AB20" i="12"/>
  <c r="AB17" i="12"/>
  <c r="AB25" i="12"/>
  <c r="AB30" i="12"/>
  <c r="AB22" i="12"/>
  <c r="AB8" i="12"/>
  <c r="AB27" i="12"/>
  <c r="AB19" i="12"/>
  <c r="AB10" i="12"/>
  <c r="Y24" i="12"/>
  <c r="Y29" i="12"/>
  <c r="Y26" i="12"/>
  <c r="Y21" i="12"/>
  <c r="Y6" i="12"/>
  <c r="Y31" i="12"/>
  <c r="Y23" i="12"/>
  <c r="Y18" i="12"/>
  <c r="Y28" i="12"/>
  <c r="Y15" i="12"/>
  <c r="Y13" i="12"/>
  <c r="Y11" i="12"/>
  <c r="Y20" i="12"/>
  <c r="Y17" i="12"/>
  <c r="Y7" i="12"/>
  <c r="Y25" i="12"/>
  <c r="AB16" i="12"/>
  <c r="B34" i="12"/>
  <c r="B35" i="12" s="1"/>
  <c r="D32" i="12"/>
  <c r="AB32" i="12"/>
  <c r="AB7" i="12"/>
  <c r="E13" i="12"/>
  <c r="AA28" i="12"/>
  <c r="Y22" i="12"/>
  <c r="AB24" i="12"/>
  <c r="Y30" i="12"/>
  <c r="AD24" i="12"/>
  <c r="AD12" i="12"/>
  <c r="AD14" i="12"/>
  <c r="X15" i="12"/>
  <c r="Z25" i="12"/>
  <c r="X28" i="12"/>
  <c r="AD32" i="12"/>
  <c r="AD10" i="12"/>
  <c r="Z17" i="12"/>
  <c r="X18" i="12"/>
  <c r="AD19" i="12"/>
  <c r="Z20" i="12"/>
  <c r="X23" i="12"/>
  <c r="AD27" i="12"/>
  <c r="X31" i="12"/>
  <c r="AD22" i="12"/>
  <c r="AD30" i="12"/>
  <c r="Z18" i="12"/>
  <c r="E19" i="12"/>
  <c r="X21" i="12"/>
  <c r="Z23" i="12"/>
  <c r="X26" i="12"/>
  <c r="Z31" i="12"/>
  <c r="AD7" i="12"/>
  <c r="AD25" i="12"/>
  <c r="X29" i="12"/>
  <c r="X16" i="12"/>
  <c r="AD17" i="12"/>
  <c r="Z21" i="12"/>
  <c r="P7" i="7"/>
  <c r="P8" i="7"/>
  <c r="P9" i="7"/>
  <c r="P6" i="7"/>
  <c r="P5" i="7"/>
  <c r="D10" i="7"/>
  <c r="F10" i="7"/>
  <c r="D19" i="3"/>
  <c r="AU10" i="17" l="1"/>
  <c r="AT10" i="17" s="1"/>
  <c r="AU16" i="17"/>
  <c r="AT16" i="17" s="1"/>
  <c r="AV16" i="17" s="1"/>
  <c r="AW16" i="17" s="1"/>
  <c r="BC16" i="17" s="1"/>
  <c r="AU12" i="17"/>
  <c r="AT12" i="17" s="1"/>
  <c r="AU25" i="17"/>
  <c r="AT25" i="17" s="1"/>
  <c r="AU21" i="17"/>
  <c r="AT21" i="17" s="1"/>
  <c r="AV21" i="17" s="1"/>
  <c r="AW21" i="17" s="1"/>
  <c r="BC21" i="17" s="1"/>
  <c r="AU15" i="17"/>
  <c r="AT15" i="17" s="1"/>
  <c r="AU20" i="17"/>
  <c r="AT20" i="17" s="1"/>
  <c r="AV20" i="17" s="1"/>
  <c r="AW20" i="17" s="1"/>
  <c r="BC20" i="17" s="1"/>
  <c r="AU22" i="17"/>
  <c r="AU8" i="17"/>
  <c r="AT8" i="17" s="1"/>
  <c r="AV8" i="17" s="1"/>
  <c r="AW8" i="17" s="1"/>
  <c r="BC8" i="17" s="1"/>
  <c r="AU11" i="17"/>
  <c r="AT11" i="17" s="1"/>
  <c r="AU18" i="17"/>
  <c r="AU27" i="17"/>
  <c r="AT27" i="17" s="1"/>
  <c r="AV27" i="17" s="1"/>
  <c r="AW27" i="17" s="1"/>
  <c r="BC27" i="17" s="1"/>
  <c r="AU17" i="17"/>
  <c r="AT17" i="17" s="1"/>
  <c r="AV17" i="17" s="1"/>
  <c r="AW17" i="17" s="1"/>
  <c r="BC17" i="17" s="1"/>
  <c r="AU28" i="17"/>
  <c r="AT28" i="17" s="1"/>
  <c r="AV28" i="17" s="1"/>
  <c r="AW28" i="17" s="1"/>
  <c r="BC28" i="17" s="1"/>
  <c r="AU19" i="17"/>
  <c r="AT19" i="17" s="1"/>
  <c r="AV19" i="17" s="1"/>
  <c r="AW19" i="17" s="1"/>
  <c r="BC19" i="17" s="1"/>
  <c r="AU14" i="17"/>
  <c r="AT14" i="17" s="1"/>
  <c r="AV14" i="17" s="1"/>
  <c r="AW14" i="17" s="1"/>
  <c r="BC14" i="17" s="1"/>
  <c r="AU13" i="17"/>
  <c r="AU23" i="17"/>
  <c r="AT23" i="17" s="1"/>
  <c r="AV23" i="17" s="1"/>
  <c r="AU9" i="17"/>
  <c r="AU26" i="17"/>
  <c r="AU24" i="17"/>
  <c r="AT24" i="17" s="1"/>
  <c r="AV24" i="17" s="1"/>
  <c r="AW24" i="17" s="1"/>
  <c r="BC24" i="17" s="1"/>
  <c r="AR31" i="12"/>
  <c r="AO17" i="12"/>
  <c r="AQ12" i="12"/>
  <c r="AS19" i="12"/>
  <c r="AS15" i="12"/>
  <c r="AQ15" i="12"/>
  <c r="AO15" i="12"/>
  <c r="AT15" i="12"/>
  <c r="AP15" i="12"/>
  <c r="AR15" i="12"/>
  <c r="AT14" i="12"/>
  <c r="AQ10" i="12"/>
  <c r="AT10" i="12"/>
  <c r="AP10" i="12"/>
  <c r="AR10" i="12"/>
  <c r="AO10" i="12"/>
  <c r="AS10" i="12"/>
  <c r="AA9" i="12"/>
  <c r="AA23" i="12"/>
  <c r="AA31" i="12"/>
  <c r="AI31" i="12" s="1"/>
  <c r="V14" i="12"/>
  <c r="AS14" i="12" s="1"/>
  <c r="AA22" i="12"/>
  <c r="AA30" i="12"/>
  <c r="AH30" i="12" s="1"/>
  <c r="AA26" i="12"/>
  <c r="AA29" i="12"/>
  <c r="AA18" i="12"/>
  <c r="AA25" i="12"/>
  <c r="AJ25" i="12" s="1"/>
  <c r="AA17" i="12"/>
  <c r="AA20" i="12"/>
  <c r="AA11" i="12"/>
  <c r="AL11" i="12" s="1"/>
  <c r="AA13" i="12"/>
  <c r="V18" i="12"/>
  <c r="AS18" i="12" s="1"/>
  <c r="V31" i="12"/>
  <c r="AQ31" i="12" s="1"/>
  <c r="V19" i="12"/>
  <c r="AR19" i="12" s="1"/>
  <c r="V7" i="12"/>
  <c r="V6" i="12"/>
  <c r="V27" i="12"/>
  <c r="AS27" i="12" s="1"/>
  <c r="V32" i="12"/>
  <c r="V29" i="12"/>
  <c r="AR29" i="12" s="1"/>
  <c r="V26" i="12"/>
  <c r="AG26" i="12" s="1"/>
  <c r="V11" i="12"/>
  <c r="AS11" i="12" s="1"/>
  <c r="V16" i="12"/>
  <c r="AR16" i="12" s="1"/>
  <c r="V30" i="12"/>
  <c r="AR30" i="12" s="1"/>
  <c r="V24" i="12"/>
  <c r="AT24" i="12" s="1"/>
  <c r="V23" i="12"/>
  <c r="AJ23" i="12" s="1"/>
  <c r="V21" i="12"/>
  <c r="AT21" i="12" s="1"/>
  <c r="E10" i="12"/>
  <c r="V25" i="12"/>
  <c r="AQ25" i="12" s="1"/>
  <c r="V12" i="12"/>
  <c r="BJ12" i="12" s="1"/>
  <c r="BK12" i="12" s="1"/>
  <c r="V22" i="12"/>
  <c r="AQ22" i="12" s="1"/>
  <c r="V13" i="12"/>
  <c r="AT13" i="12" s="1"/>
  <c r="V5" i="12"/>
  <c r="V17" i="12"/>
  <c r="AS17" i="12" s="1"/>
  <c r="V28" i="12"/>
  <c r="AR28" i="12" s="1"/>
  <c r="V20" i="12"/>
  <c r="AT20" i="12" s="1"/>
  <c r="V8" i="12"/>
  <c r="AT8" i="12" s="1"/>
  <c r="V9" i="12"/>
  <c r="AA32" i="12"/>
  <c r="AA21" i="12"/>
  <c r="AA19" i="12"/>
  <c r="AH19" i="12" s="1"/>
  <c r="AA8" i="12"/>
  <c r="AA12" i="12"/>
  <c r="AA14" i="12"/>
  <c r="AI14" i="12" s="1"/>
  <c r="AA27" i="12"/>
  <c r="E17" i="12"/>
  <c r="AA24" i="12"/>
  <c r="AA16" i="12"/>
  <c r="AA10" i="12"/>
  <c r="AH10" i="12" s="1"/>
  <c r="AK15" i="12"/>
  <c r="AH14" i="12"/>
  <c r="AM14" i="12"/>
  <c r="BJ10" i="12"/>
  <c r="BK10" i="12" s="1"/>
  <c r="AL13" i="12"/>
  <c r="BJ16" i="12"/>
  <c r="BK16" i="12" s="1"/>
  <c r="AL15" i="12"/>
  <c r="BJ11" i="12"/>
  <c r="BK11" i="12" s="1"/>
  <c r="BJ21" i="12"/>
  <c r="BK21" i="12" s="1"/>
  <c r="AG30" i="12"/>
  <c r="AG13" i="12"/>
  <c r="AM13" i="12"/>
  <c r="AJ14" i="12"/>
  <c r="AI15" i="12"/>
  <c r="BJ15" i="12"/>
  <c r="BK15" i="12" s="1"/>
  <c r="AH15" i="12"/>
  <c r="AG15" i="12"/>
  <c r="AI30" i="12"/>
  <c r="AJ13" i="12"/>
  <c r="AM15" i="12"/>
  <c r="AN13" i="12"/>
  <c r="BJ29" i="12"/>
  <c r="BK29" i="12" s="1"/>
  <c r="AN28" i="12"/>
  <c r="AI13" i="12"/>
  <c r="AN15" i="12"/>
  <c r="AI23" i="12"/>
  <c r="AJ15" i="12"/>
  <c r="BJ13" i="12"/>
  <c r="BK13" i="12" s="1"/>
  <c r="AK14" i="12"/>
  <c r="D13" i="3"/>
  <c r="D14" i="3"/>
  <c r="AG11" i="12" l="1"/>
  <c r="AR18" i="12"/>
  <c r="AP14" i="12"/>
  <c r="AQ19" i="12"/>
  <c r="AQ17" i="12"/>
  <c r="AV12" i="17"/>
  <c r="AW12" i="17" s="1"/>
  <c r="BC12" i="17" s="1"/>
  <c r="AX27" i="17"/>
  <c r="BD27" i="17" s="1"/>
  <c r="BB27" i="17"/>
  <c r="BH27" i="17" s="1"/>
  <c r="AY27" i="17"/>
  <c r="BE27" i="17" s="1"/>
  <c r="AZ27" i="17"/>
  <c r="BF27" i="17" s="1"/>
  <c r="BA27" i="17"/>
  <c r="BG27" i="17" s="1"/>
  <c r="AE34" i="17"/>
  <c r="AX12" i="17"/>
  <c r="BD12" i="17" s="1"/>
  <c r="BB12" i="17"/>
  <c r="BH12" i="17" s="1"/>
  <c r="AZ12" i="17"/>
  <c r="BF12" i="17" s="1"/>
  <c r="AY12" i="17"/>
  <c r="BE12" i="17" s="1"/>
  <c r="BA12" i="17"/>
  <c r="BG12" i="17" s="1"/>
  <c r="AT18" i="12"/>
  <c r="AQ14" i="12"/>
  <c r="AT12" i="12"/>
  <c r="U38" i="12" s="1"/>
  <c r="AR17" i="12"/>
  <c r="AV10" i="17"/>
  <c r="AW10" i="17" s="1"/>
  <c r="BC10" i="17" s="1"/>
  <c r="AX22" i="17"/>
  <c r="BD22" i="17" s="1"/>
  <c r="O41" i="17"/>
  <c r="AY22" i="17"/>
  <c r="BE22" i="17" s="1"/>
  <c r="BA22" i="17"/>
  <c r="BG22" i="17" s="1"/>
  <c r="AZ22" i="17"/>
  <c r="BF22" i="17" s="1"/>
  <c r="BB22" i="17"/>
  <c r="BH22" i="17" s="1"/>
  <c r="AX11" i="17"/>
  <c r="BD11" i="17" s="1"/>
  <c r="BB11" i="17"/>
  <c r="BH11" i="17" s="1"/>
  <c r="AZ11" i="17"/>
  <c r="BF11" i="17" s="1"/>
  <c r="BA11" i="17"/>
  <c r="BG11" i="17" s="1"/>
  <c r="AY11" i="17"/>
  <c r="BE11" i="17" s="1"/>
  <c r="AP11" i="12"/>
  <c r="AP24" i="12"/>
  <c r="AV11" i="17"/>
  <c r="AW11" i="17" s="1"/>
  <c r="BC11" i="17" s="1"/>
  <c r="AX13" i="17"/>
  <c r="BD13" i="17" s="1"/>
  <c r="O39" i="17"/>
  <c r="BB13" i="17"/>
  <c r="BH13" i="17" s="1"/>
  <c r="BA13" i="17"/>
  <c r="BG13" i="17" s="1"/>
  <c r="AZ13" i="17"/>
  <c r="BF13" i="17" s="1"/>
  <c r="AY13" i="17"/>
  <c r="BE13" i="17" s="1"/>
  <c r="AX16" i="17"/>
  <c r="BD16" i="17" s="1"/>
  <c r="AY16" i="17"/>
  <c r="BE16" i="17" s="1"/>
  <c r="AZ16" i="17"/>
  <c r="BF16" i="17" s="1"/>
  <c r="BA16" i="17"/>
  <c r="BG16" i="17" s="1"/>
  <c r="BB16" i="17"/>
  <c r="BH16" i="17" s="1"/>
  <c r="AT11" i="12"/>
  <c r="AS24" i="12"/>
  <c r="AX15" i="17"/>
  <c r="BD15" i="17" s="1"/>
  <c r="AY15" i="17"/>
  <c r="BE15" i="17" s="1"/>
  <c r="BA15" i="17"/>
  <c r="BG15" i="17" s="1"/>
  <c r="BB15" i="17"/>
  <c r="BH15" i="17" s="1"/>
  <c r="AZ15" i="17"/>
  <c r="BF15" i="17" s="1"/>
  <c r="AX19" i="17"/>
  <c r="BD19" i="17" s="1"/>
  <c r="BB19" i="17"/>
  <c r="BH19" i="17" s="1"/>
  <c r="BA19" i="17"/>
  <c r="BG19" i="17" s="1"/>
  <c r="AY19" i="17"/>
  <c r="BE19" i="17" s="1"/>
  <c r="AZ19" i="17"/>
  <c r="BF19" i="17" s="1"/>
  <c r="AX9" i="17"/>
  <c r="BD9" i="17" s="1"/>
  <c r="O38" i="17"/>
  <c r="BA9" i="17"/>
  <c r="BG9" i="17" s="1"/>
  <c r="BB9" i="17"/>
  <c r="BH9" i="17" s="1"/>
  <c r="AY9" i="17"/>
  <c r="BE9" i="17" s="1"/>
  <c r="AZ9" i="17"/>
  <c r="BF9" i="17" s="1"/>
  <c r="AQ24" i="12"/>
  <c r="R41" i="12" s="1"/>
  <c r="BJ18" i="12"/>
  <c r="BK18" i="12" s="1"/>
  <c r="AK11" i="12"/>
  <c r="AN18" i="12"/>
  <c r="AO25" i="12"/>
  <c r="AO24" i="12"/>
  <c r="U42" i="17"/>
  <c r="AT26" i="17"/>
  <c r="AV26" i="17" s="1"/>
  <c r="AW26" i="17" s="1"/>
  <c r="BC26" i="17" s="1"/>
  <c r="AT22" i="17"/>
  <c r="AV22" i="17" s="1"/>
  <c r="U41" i="17"/>
  <c r="AX23" i="17"/>
  <c r="BD23" i="17" s="1"/>
  <c r="AY23" i="17"/>
  <c r="BE23" i="17" s="1"/>
  <c r="BB23" i="17"/>
  <c r="BH23" i="17" s="1"/>
  <c r="BA23" i="17"/>
  <c r="BG23" i="17" s="1"/>
  <c r="AZ23" i="17"/>
  <c r="BF23" i="17" s="1"/>
  <c r="AX21" i="17"/>
  <c r="BD21" i="17" s="1"/>
  <c r="AY21" i="17"/>
  <c r="BE21" i="17" s="1"/>
  <c r="AZ21" i="17"/>
  <c r="BF21" i="17" s="1"/>
  <c r="BA21" i="17"/>
  <c r="BG21" i="17" s="1"/>
  <c r="BB21" i="17"/>
  <c r="BH21" i="17" s="1"/>
  <c r="AT18" i="17"/>
  <c r="AV18" i="17" s="1"/>
  <c r="U40" i="17"/>
  <c r="AR25" i="12"/>
  <c r="AR24" i="12"/>
  <c r="AT9" i="17"/>
  <c r="AV9" i="17" s="1"/>
  <c r="U38" i="17"/>
  <c r="AX20" i="17"/>
  <c r="BD20" i="17" s="1"/>
  <c r="BB20" i="17"/>
  <c r="BH20" i="17" s="1"/>
  <c r="BA20" i="17"/>
  <c r="BG20" i="17" s="1"/>
  <c r="AY20" i="17"/>
  <c r="BE20" i="17" s="1"/>
  <c r="AZ20" i="17"/>
  <c r="BF20" i="17" s="1"/>
  <c r="AX25" i="17"/>
  <c r="BD25" i="17" s="1"/>
  <c r="AY25" i="17"/>
  <c r="BE25" i="17" s="1"/>
  <c r="AZ25" i="17"/>
  <c r="BF25" i="17" s="1"/>
  <c r="BA25" i="17"/>
  <c r="BG25" i="17" s="1"/>
  <c r="BB25" i="17"/>
  <c r="BH25" i="17" s="1"/>
  <c r="AP18" i="12"/>
  <c r="AQ18" i="12"/>
  <c r="AT17" i="12"/>
  <c r="AI10" i="12"/>
  <c r="AP25" i="12"/>
  <c r="AP19" i="12"/>
  <c r="AT28" i="12"/>
  <c r="AW23" i="17"/>
  <c r="BC23" i="17" s="1"/>
  <c r="AV15" i="17"/>
  <c r="AW15" i="17" s="1"/>
  <c r="BC15" i="17" s="1"/>
  <c r="AX24" i="17"/>
  <c r="BD24" i="17" s="1"/>
  <c r="AY24" i="17"/>
  <c r="BE24" i="17" s="1"/>
  <c r="BA24" i="17"/>
  <c r="BG24" i="17" s="1"/>
  <c r="BB24" i="17"/>
  <c r="BH24" i="17" s="1"/>
  <c r="AZ24" i="17"/>
  <c r="BF24" i="17" s="1"/>
  <c r="AX18" i="17"/>
  <c r="BD18" i="17" s="1"/>
  <c r="O40" i="17"/>
  <c r="AY18" i="17"/>
  <c r="BE18" i="17" s="1"/>
  <c r="AZ18" i="17"/>
  <c r="BF18" i="17" s="1"/>
  <c r="BA18" i="17"/>
  <c r="BG18" i="17" s="1"/>
  <c r="BB18" i="17"/>
  <c r="BH18" i="17" s="1"/>
  <c r="AX10" i="17"/>
  <c r="BD10" i="17" s="1"/>
  <c r="AZ10" i="17"/>
  <c r="BF10" i="17" s="1"/>
  <c r="BB10" i="17"/>
  <c r="BH10" i="17" s="1"/>
  <c r="AY10" i="17"/>
  <c r="BE10" i="17" s="1"/>
  <c r="BA10" i="17"/>
  <c r="BG10" i="17" s="1"/>
  <c r="AR11" i="12"/>
  <c r="AQ21" i="12"/>
  <c r="AO14" i="12"/>
  <c r="AT19" i="12"/>
  <c r="AQ20" i="12"/>
  <c r="U39" i="17"/>
  <c r="AT13" i="17"/>
  <c r="AV13" i="17" s="1"/>
  <c r="AX26" i="17"/>
  <c r="BD26" i="17" s="1"/>
  <c r="O42" i="17"/>
  <c r="BB26" i="17"/>
  <c r="BH26" i="17" s="1"/>
  <c r="AY26" i="17"/>
  <c r="BE26" i="17" s="1"/>
  <c r="BA26" i="17"/>
  <c r="BG26" i="17" s="1"/>
  <c r="AZ26" i="17"/>
  <c r="BF26" i="17" s="1"/>
  <c r="AX8" i="17"/>
  <c r="BD8" i="17" s="1"/>
  <c r="BB8" i="17"/>
  <c r="BH8" i="17" s="1"/>
  <c r="AY8" i="17"/>
  <c r="BE8" i="17" s="1"/>
  <c r="BA8" i="17"/>
  <c r="BG8" i="17" s="1"/>
  <c r="AZ8" i="17"/>
  <c r="BF8" i="17" s="1"/>
  <c r="AX28" i="17"/>
  <c r="BD28" i="17" s="1"/>
  <c r="AY28" i="17"/>
  <c r="BE28" i="17" s="1"/>
  <c r="BA28" i="17"/>
  <c r="BG28" i="17" s="1"/>
  <c r="BB28" i="17"/>
  <c r="BH28" i="17" s="1"/>
  <c r="AZ28" i="17"/>
  <c r="BF28" i="17" s="1"/>
  <c r="AO18" i="12"/>
  <c r="AR14" i="12"/>
  <c r="S42" i="12" s="1"/>
  <c r="AO19" i="12"/>
  <c r="AS20" i="12"/>
  <c r="AV25" i="17"/>
  <c r="AW25" i="17" s="1"/>
  <c r="BC25" i="17" s="1"/>
  <c r="AX14" i="17"/>
  <c r="BD14" i="17" s="1"/>
  <c r="BA14" i="17"/>
  <c r="BG14" i="17" s="1"/>
  <c r="AY14" i="17"/>
  <c r="BE14" i="17" s="1"/>
  <c r="BB14" i="17"/>
  <c r="BH14" i="17" s="1"/>
  <c r="AZ14" i="17"/>
  <c r="BF14" i="17" s="1"/>
  <c r="AX17" i="17"/>
  <c r="BD17" i="17" s="1"/>
  <c r="AZ17" i="17"/>
  <c r="BF17" i="17" s="1"/>
  <c r="BB17" i="17"/>
  <c r="BH17" i="17" s="1"/>
  <c r="AY17" i="17"/>
  <c r="BE17" i="17" s="1"/>
  <c r="BA17" i="17"/>
  <c r="BG17" i="17" s="1"/>
  <c r="AO26" i="12"/>
  <c r="AM25" i="12"/>
  <c r="AK29" i="12"/>
  <c r="BJ32" i="12"/>
  <c r="BK32" i="12" s="1"/>
  <c r="AO32" i="12"/>
  <c r="AP32" i="12"/>
  <c r="AS12" i="12"/>
  <c r="T38" i="12" s="1"/>
  <c r="AP20" i="12"/>
  <c r="AT26" i="12"/>
  <c r="AS31" i="12"/>
  <c r="AO12" i="12"/>
  <c r="AO20" i="12"/>
  <c r="AP17" i="12"/>
  <c r="AP26" i="12"/>
  <c r="AQ32" i="12"/>
  <c r="AL25" i="12"/>
  <c r="AT25" i="12"/>
  <c r="AR12" i="12"/>
  <c r="AR20" i="12"/>
  <c r="AQ26" i="12"/>
  <c r="R42" i="12" s="1"/>
  <c r="AQ29" i="12"/>
  <c r="S39" i="12"/>
  <c r="AS22" i="12"/>
  <c r="AO23" i="12"/>
  <c r="AS8" i="12"/>
  <c r="AT16" i="12"/>
  <c r="AR27" i="12"/>
  <c r="AQ13" i="12"/>
  <c r="AT29" i="12"/>
  <c r="AO29" i="12"/>
  <c r="AP29" i="12"/>
  <c r="AN27" i="12"/>
  <c r="M42" i="12" s="1"/>
  <c r="AL22" i="12"/>
  <c r="AS21" i="12"/>
  <c r="AO22" i="12"/>
  <c r="AR23" i="12"/>
  <c r="AQ8" i="12"/>
  <c r="AQ28" i="12"/>
  <c r="AQ16" i="12"/>
  <c r="AP27" i="12"/>
  <c r="AS13" i="12"/>
  <c r="AR26" i="12"/>
  <c r="BJ22" i="12"/>
  <c r="BK22" i="12" s="1"/>
  <c r="AO31" i="12"/>
  <c r="AP31" i="12"/>
  <c r="AR21" i="12"/>
  <c r="AR22" i="12"/>
  <c r="AP23" i="12"/>
  <c r="AP28" i="12"/>
  <c r="AP16" i="12"/>
  <c r="AT27" i="12"/>
  <c r="AR13" i="12"/>
  <c r="S41" i="12" s="1"/>
  <c r="AR32" i="12"/>
  <c r="AP9" i="12"/>
  <c r="AR9" i="12"/>
  <c r="AO9" i="12"/>
  <c r="AQ9" i="12"/>
  <c r="AT9" i="12"/>
  <c r="AN32" i="12"/>
  <c r="AN16" i="12"/>
  <c r="AI29" i="12"/>
  <c r="AG14" i="12"/>
  <c r="AO21" i="12"/>
  <c r="AO11" i="12"/>
  <c r="AP22" i="12"/>
  <c r="AT23" i="12"/>
  <c r="AR8" i="12"/>
  <c r="AS28" i="12"/>
  <c r="AS16" i="12"/>
  <c r="T42" i="12" s="1"/>
  <c r="AO27" i="12"/>
  <c r="AO13" i="12"/>
  <c r="AL29" i="12"/>
  <c r="AN26" i="12"/>
  <c r="BJ30" i="12"/>
  <c r="BK30" i="12" s="1"/>
  <c r="AO30" i="12"/>
  <c r="AP30" i="12"/>
  <c r="AP21" i="12"/>
  <c r="AQ11" i="12"/>
  <c r="R38" i="12" s="1"/>
  <c r="AT22" i="12"/>
  <c r="AQ23" i="12"/>
  <c r="AP8" i="12"/>
  <c r="AO28" i="12"/>
  <c r="AO16" i="12"/>
  <c r="AQ27" i="12"/>
  <c r="AP13" i="12"/>
  <c r="AS32" i="12"/>
  <c r="AS29" i="12"/>
  <c r="AN29" i="12"/>
  <c r="AS23" i="12"/>
  <c r="AS30" i="12"/>
  <c r="AK26" i="12"/>
  <c r="AM26" i="12"/>
  <c r="AG27" i="12"/>
  <c r="AG29" i="12"/>
  <c r="AN14" i="12"/>
  <c r="AI20" i="12"/>
  <c r="AS25" i="12"/>
  <c r="AP12" i="12"/>
  <c r="AS26" i="12"/>
  <c r="AQ30" i="12"/>
  <c r="AS9" i="12"/>
  <c r="AN11" i="12"/>
  <c r="AJ22" i="12"/>
  <c r="AH11" i="12"/>
  <c r="BJ19" i="12"/>
  <c r="BK19" i="12" s="1"/>
  <c r="AK10" i="12"/>
  <c r="AT31" i="12"/>
  <c r="AJ9" i="12"/>
  <c r="AH22" i="12"/>
  <c r="AK31" i="12"/>
  <c r="AJ11" i="12"/>
  <c r="AM11" i="12"/>
  <c r="AI11" i="12"/>
  <c r="AJ29" i="12"/>
  <c r="BJ27" i="12"/>
  <c r="BK27" i="12" s="1"/>
  <c r="BJ25" i="12"/>
  <c r="BK25" i="12" s="1"/>
  <c r="AL10" i="12"/>
  <c r="AG23" i="12"/>
  <c r="AL14" i="12"/>
  <c r="BJ14" i="12"/>
  <c r="BK14" i="12" s="1"/>
  <c r="AL24" i="12"/>
  <c r="AN12" i="12"/>
  <c r="AL32" i="12"/>
  <c r="AL31" i="12"/>
  <c r="AK18" i="12"/>
  <c r="AJ31" i="12"/>
  <c r="AT32" i="12"/>
  <c r="BJ9" i="12"/>
  <c r="BK9" i="12" s="1"/>
  <c r="AN23" i="12"/>
  <c r="AL23" i="12"/>
  <c r="AI25" i="12"/>
  <c r="AN31" i="12"/>
  <c r="AJ12" i="12"/>
  <c r="AK25" i="12"/>
  <c r="AM32" i="12"/>
  <c r="BJ8" i="12"/>
  <c r="BK8" i="12" s="1"/>
  <c r="AG25" i="12"/>
  <c r="AM29" i="12"/>
  <c r="AK13" i="12"/>
  <c r="AH29" i="12"/>
  <c r="AL8" i="12"/>
  <c r="AG21" i="12"/>
  <c r="AL30" i="12"/>
  <c r="AT30" i="12"/>
  <c r="AH16" i="12"/>
  <c r="AI9" i="12"/>
  <c r="AM24" i="12"/>
  <c r="AI24" i="12"/>
  <c r="AK32" i="12"/>
  <c r="AJ32" i="12"/>
  <c r="AK30" i="12"/>
  <c r="AM16" i="12"/>
  <c r="N39" i="12" s="1"/>
  <c r="AL18" i="12"/>
  <c r="AJ24" i="12"/>
  <c r="AL26" i="12"/>
  <c r="AK12" i="12"/>
  <c r="AL20" i="12"/>
  <c r="AJ30" i="12"/>
  <c r="AM18" i="12"/>
  <c r="AL21" i="12"/>
  <c r="AN24" i="12"/>
  <c r="AG24" i="12"/>
  <c r="AL9" i="12"/>
  <c r="AG18" i="12"/>
  <c r="AI18" i="12"/>
  <c r="AJ18" i="12"/>
  <c r="AI32" i="12"/>
  <c r="AG9" i="12"/>
  <c r="AH24" i="12"/>
  <c r="BJ26" i="12"/>
  <c r="BK26" i="12" s="1"/>
  <c r="AL16" i="12"/>
  <c r="G39" i="12" s="1"/>
  <c r="AH18" i="12"/>
  <c r="AJ27" i="12"/>
  <c r="AH32" i="12"/>
  <c r="AJ16" i="12"/>
  <c r="AI22" i="12"/>
  <c r="AG16" i="12"/>
  <c r="AM12" i="12"/>
  <c r="AJ26" i="12"/>
  <c r="AG10" i="12"/>
  <c r="AH25" i="12"/>
  <c r="BJ24" i="12"/>
  <c r="BK24" i="12" s="1"/>
  <c r="AI26" i="12"/>
  <c r="T40" i="12"/>
  <c r="AK27" i="12"/>
  <c r="AG31" i="12"/>
  <c r="AH23" i="12"/>
  <c r="AG22" i="12"/>
  <c r="AM27" i="12"/>
  <c r="AL12" i="12"/>
  <c r="AK23" i="12"/>
  <c r="AI27" i="12"/>
  <c r="AH9" i="12"/>
  <c r="AH31" i="12"/>
  <c r="AM23" i="12"/>
  <c r="AJ19" i="12"/>
  <c r="AH27" i="12"/>
  <c r="AL27" i="12"/>
  <c r="BJ23" i="12"/>
  <c r="BK23" i="12" s="1"/>
  <c r="AM10" i="12"/>
  <c r="AK9" i="12"/>
  <c r="AN22" i="12"/>
  <c r="AK16" i="12"/>
  <c r="AI16" i="12"/>
  <c r="J39" i="12" s="1"/>
  <c r="BJ31" i="12"/>
  <c r="BK31" i="12" s="1"/>
  <c r="AN10" i="12"/>
  <c r="AG32" i="12"/>
  <c r="AM31" i="12"/>
  <c r="AM22" i="12"/>
  <c r="AG12" i="12"/>
  <c r="AK24" i="12"/>
  <c r="AM8" i="12"/>
  <c r="AN30" i="12"/>
  <c r="AM9" i="12"/>
  <c r="AN25" i="12"/>
  <c r="AM30" i="12"/>
  <c r="AH12" i="12"/>
  <c r="AM19" i="12"/>
  <c r="AN9" i="12"/>
  <c r="AH26" i="12"/>
  <c r="AI12" i="12"/>
  <c r="AJ10" i="12"/>
  <c r="AI19" i="12"/>
  <c r="Q42" i="12"/>
  <c r="AH8" i="12"/>
  <c r="AK8" i="12"/>
  <c r="AH21" i="12"/>
  <c r="AL17" i="12"/>
  <c r="AN21" i="12"/>
  <c r="AM17" i="12"/>
  <c r="AN17" i="12"/>
  <c r="AK17" i="12"/>
  <c r="AH17" i="12"/>
  <c r="BJ28" i="12"/>
  <c r="BK28" i="12" s="1"/>
  <c r="AL28" i="12"/>
  <c r="AG28" i="12"/>
  <c r="AL19" i="12"/>
  <c r="AJ8" i="12"/>
  <c r="AK19" i="12"/>
  <c r="AJ17" i="12"/>
  <c r="AG19" i="12"/>
  <c r="AK21" i="12"/>
  <c r="AG20" i="12"/>
  <c r="AI8" i="12"/>
  <c r="AI21" i="12"/>
  <c r="AI17" i="12"/>
  <c r="AJ20" i="12"/>
  <c r="AJ28" i="12"/>
  <c r="AN19" i="12"/>
  <c r="AJ21" i="12"/>
  <c r="AN8" i="12"/>
  <c r="AN20" i="12"/>
  <c r="AM28" i="12"/>
  <c r="AG8" i="12"/>
  <c r="AK20" i="12"/>
  <c r="AK22" i="12"/>
  <c r="AH13" i="12"/>
  <c r="AH20" i="12"/>
  <c r="AI28" i="12"/>
  <c r="AM20" i="12"/>
  <c r="BJ20" i="12"/>
  <c r="BK20" i="12" s="1"/>
  <c r="AK28" i="12"/>
  <c r="AM21" i="12"/>
  <c r="AH28" i="12"/>
  <c r="AG17" i="12"/>
  <c r="Y12" i="3"/>
  <c r="Y24" i="3"/>
  <c r="Z6" i="3"/>
  <c r="Y26" i="3"/>
  <c r="Z5" i="3"/>
  <c r="Y15" i="3"/>
  <c r="Y13" i="3"/>
  <c r="Y25" i="3"/>
  <c r="Z7" i="3"/>
  <c r="Y14" i="3"/>
  <c r="Y16" i="3"/>
  <c r="Y28" i="3"/>
  <c r="Y17" i="3"/>
  <c r="Y10" i="3"/>
  <c r="Y18" i="3"/>
  <c r="Y19" i="3"/>
  <c r="Y22" i="3"/>
  <c r="Y27" i="3"/>
  <c r="Y20" i="3"/>
  <c r="Y9" i="3"/>
  <c r="Y21" i="3"/>
  <c r="Y8" i="3"/>
  <c r="Y11" i="3"/>
  <c r="Y23" i="3"/>
  <c r="U42" i="12"/>
  <c r="T39" i="12"/>
  <c r="M39" i="12"/>
  <c r="J41" i="12"/>
  <c r="H39" i="12"/>
  <c r="U41" i="12"/>
  <c r="T41" i="12"/>
  <c r="AC17" i="3"/>
  <c r="E13" i="3"/>
  <c r="D17" i="3"/>
  <c r="E17" i="3" s="1"/>
  <c r="E11" i="3"/>
  <c r="E14" i="3"/>
  <c r="E16" i="3"/>
  <c r="E18" i="3"/>
  <c r="E9" i="3"/>
  <c r="T6" i="3"/>
  <c r="T8" i="3"/>
  <c r="AB17" i="3"/>
  <c r="T17" i="3"/>
  <c r="U39" i="12" l="1"/>
  <c r="V38" i="17"/>
  <c r="AW9" i="17"/>
  <c r="U40" i="12"/>
  <c r="V39" i="17"/>
  <c r="AW13" i="17"/>
  <c r="BC13" i="17" s="1"/>
  <c r="W39" i="17" s="1"/>
  <c r="V42" i="17"/>
  <c r="AW18" i="17"/>
  <c r="BC18" i="17" s="1"/>
  <c r="W40" i="17" s="1"/>
  <c r="V40" i="17"/>
  <c r="V41" i="17"/>
  <c r="AW22" i="17"/>
  <c r="BC22" i="17" s="1"/>
  <c r="W41" i="17" s="1"/>
  <c r="R39" i="12"/>
  <c r="W42" i="17"/>
  <c r="R40" i="12"/>
  <c r="Q40" i="12"/>
  <c r="S40" i="12"/>
  <c r="S38" i="12"/>
  <c r="H42" i="12"/>
  <c r="H41" i="12"/>
  <c r="G41" i="12"/>
  <c r="K39" i="12"/>
  <c r="H38" i="12"/>
  <c r="J42" i="12"/>
  <c r="G38" i="12"/>
  <c r="J38" i="12"/>
  <c r="N38" i="12"/>
  <c r="Q41" i="12"/>
  <c r="Q38" i="12"/>
  <c r="Q39" i="12"/>
  <c r="AE8" i="3"/>
  <c r="AE17" i="3"/>
  <c r="K38" i="12"/>
  <c r="L39" i="12"/>
  <c r="N41" i="12"/>
  <c r="I39" i="12"/>
  <c r="K41" i="12"/>
  <c r="M38" i="12"/>
  <c r="G42" i="12"/>
  <c r="G40" i="12"/>
  <c r="I41" i="12"/>
  <c r="K42" i="12"/>
  <c r="I40" i="12"/>
  <c r="M41" i="12"/>
  <c r="I38" i="12"/>
  <c r="L38" i="12"/>
  <c r="H40" i="12"/>
  <c r="K40" i="12"/>
  <c r="J40" i="12"/>
  <c r="L41" i="12"/>
  <c r="N40" i="12"/>
  <c r="N42" i="12"/>
  <c r="M40" i="12"/>
  <c r="I42" i="12"/>
  <c r="L40" i="12"/>
  <c r="L42" i="12"/>
  <c r="E19" i="3"/>
  <c r="W4" i="7"/>
  <c r="W5" i="7"/>
  <c r="W6" i="7"/>
  <c r="W7" i="7"/>
  <c r="W8" i="7"/>
  <c r="W9" i="7"/>
  <c r="W3" i="7"/>
  <c r="U10" i="7"/>
  <c r="L10" i="7"/>
  <c r="P4" i="7"/>
  <c r="P3" i="7"/>
  <c r="P10" i="7" s="1"/>
  <c r="C20" i="7"/>
  <c r="C19" i="7"/>
  <c r="C17" i="7"/>
  <c r="C16" i="7"/>
  <c r="R3" i="7" s="1"/>
  <c r="J10" i="7"/>
  <c r="AE31" i="13" l="1"/>
  <c r="AE32" i="13"/>
  <c r="AE29" i="13"/>
  <c r="AE30" i="13"/>
  <c r="AE8" i="12"/>
  <c r="BC9" i="17"/>
  <c r="W38" i="17" s="1"/>
  <c r="AW33" i="17"/>
  <c r="R9" i="7"/>
  <c r="R6" i="7"/>
  <c r="R5" i="7"/>
  <c r="R7" i="7"/>
  <c r="R8" i="7"/>
  <c r="AE9" i="12"/>
  <c r="AE26" i="12"/>
  <c r="AE25" i="12"/>
  <c r="AE28" i="12"/>
  <c r="AE29" i="12"/>
  <c r="AE24" i="12"/>
  <c r="AE22" i="12"/>
  <c r="AE18" i="12"/>
  <c r="AE14" i="12"/>
  <c r="AE19" i="12"/>
  <c r="AE16" i="12"/>
  <c r="AE11" i="12"/>
  <c r="AE17" i="12"/>
  <c r="AE20" i="12"/>
  <c r="AE12" i="12"/>
  <c r="AE27" i="12"/>
  <c r="AE10" i="12"/>
  <c r="AE15" i="12"/>
  <c r="AE31" i="12"/>
  <c r="AE32" i="12"/>
  <c r="AE21" i="12"/>
  <c r="AE23" i="12"/>
  <c r="AE13" i="12"/>
  <c r="AE30" i="12"/>
  <c r="AV10" i="12"/>
  <c r="AU10" i="12" s="1"/>
  <c r="AV26" i="12"/>
  <c r="AU26" i="12" s="1"/>
  <c r="AW26" i="12" s="1"/>
  <c r="AV13" i="12"/>
  <c r="AU13" i="12" s="1"/>
  <c r="AV8" i="12"/>
  <c r="AU8" i="12" s="1"/>
  <c r="AW8" i="12" s="1"/>
  <c r="AV30" i="12"/>
  <c r="AU30" i="12" s="1"/>
  <c r="AV20" i="12"/>
  <c r="AU20" i="12" s="1"/>
  <c r="AW20" i="12" s="1"/>
  <c r="AV18" i="12"/>
  <c r="AU18" i="12" s="1"/>
  <c r="AV25" i="12"/>
  <c r="AU25" i="12" s="1"/>
  <c r="AW25" i="12" s="1"/>
  <c r="AV15" i="12"/>
  <c r="AU15" i="12" s="1"/>
  <c r="AW15" i="12" s="1"/>
  <c r="AV22" i="12"/>
  <c r="AU22" i="12" s="1"/>
  <c r="AW22" i="12" s="1"/>
  <c r="AV29" i="12"/>
  <c r="AU29" i="12" s="1"/>
  <c r="AV27" i="12"/>
  <c r="AU27" i="12" s="1"/>
  <c r="AW27" i="12" s="1"/>
  <c r="AV11" i="12"/>
  <c r="AU11" i="12" s="1"/>
  <c r="AV32" i="12"/>
  <c r="AU32" i="12" s="1"/>
  <c r="AV9" i="12"/>
  <c r="AU9" i="12" s="1"/>
  <c r="AW9" i="12" s="1"/>
  <c r="AV23" i="12"/>
  <c r="AU23" i="12" s="1"/>
  <c r="AW23" i="12" s="1"/>
  <c r="AV31" i="12"/>
  <c r="AU31" i="12" s="1"/>
  <c r="AV12" i="12"/>
  <c r="AU12" i="12" s="1"/>
  <c r="AW12" i="12" s="1"/>
  <c r="AV21" i="12"/>
  <c r="AU21" i="12" s="1"/>
  <c r="AV19" i="12"/>
  <c r="AU19" i="12" s="1"/>
  <c r="AW19" i="12" s="1"/>
  <c r="AV28" i="12"/>
  <c r="AU28" i="12" s="1"/>
  <c r="AW28" i="12" s="1"/>
  <c r="AV16" i="12"/>
  <c r="AU16" i="12" s="1"/>
  <c r="AV14" i="12"/>
  <c r="AU14" i="12" s="1"/>
  <c r="AW14" i="12" s="1"/>
  <c r="AV17" i="12"/>
  <c r="AU17" i="12" s="1"/>
  <c r="AW17" i="12" s="1"/>
  <c r="AV24" i="12"/>
  <c r="AU24" i="12" s="1"/>
  <c r="AW24" i="12" s="1"/>
  <c r="W10" i="7"/>
  <c r="C15" i="7"/>
  <c r="R4" i="7"/>
  <c r="C37" i="3"/>
  <c r="AC28" i="3"/>
  <c r="AB28" i="3"/>
  <c r="T28" i="3"/>
  <c r="D28" i="3"/>
  <c r="B34" i="3" s="1"/>
  <c r="AC27" i="3"/>
  <c r="AB27" i="3"/>
  <c r="T27" i="3"/>
  <c r="AC26" i="3"/>
  <c r="AB26" i="3"/>
  <c r="T26" i="3"/>
  <c r="AC25" i="3"/>
  <c r="AB25" i="3"/>
  <c r="T25" i="3"/>
  <c r="C25" i="3"/>
  <c r="C26" i="3" s="1"/>
  <c r="AC24" i="3"/>
  <c r="AB24" i="3"/>
  <c r="T24" i="3"/>
  <c r="AC23" i="3"/>
  <c r="AB23" i="3"/>
  <c r="T23" i="3"/>
  <c r="AC22" i="3"/>
  <c r="AB22" i="3"/>
  <c r="T22" i="3"/>
  <c r="C22" i="3"/>
  <c r="C23" i="3" s="1"/>
  <c r="AC21" i="3"/>
  <c r="AB21" i="3"/>
  <c r="T21" i="3"/>
  <c r="AC20" i="3"/>
  <c r="AB20" i="3"/>
  <c r="T20" i="3"/>
  <c r="AC19" i="3"/>
  <c r="AB19" i="3"/>
  <c r="T19" i="3"/>
  <c r="AC18" i="3"/>
  <c r="AB18" i="3"/>
  <c r="T18" i="3"/>
  <c r="AC16" i="3"/>
  <c r="AB16" i="3"/>
  <c r="T16" i="3"/>
  <c r="AC15" i="3"/>
  <c r="AB15" i="3"/>
  <c r="T15" i="3"/>
  <c r="D15" i="3"/>
  <c r="AC14" i="3"/>
  <c r="AB14" i="3"/>
  <c r="T14" i="3"/>
  <c r="AC13" i="3"/>
  <c r="AB13" i="3"/>
  <c r="T13" i="3"/>
  <c r="AC12" i="3"/>
  <c r="AB12" i="3"/>
  <c r="T12" i="3"/>
  <c r="D12" i="3"/>
  <c r="E12" i="3" s="1"/>
  <c r="AC11" i="3"/>
  <c r="AB11" i="3"/>
  <c r="T11" i="3"/>
  <c r="AC10" i="3"/>
  <c r="AB10" i="3"/>
  <c r="T10" i="3"/>
  <c r="AC9" i="3"/>
  <c r="AB9" i="3"/>
  <c r="T9" i="3"/>
  <c r="AC8" i="3"/>
  <c r="AB8" i="3"/>
  <c r="AC7" i="3"/>
  <c r="AB7" i="3"/>
  <c r="T7" i="3"/>
  <c r="AC6" i="3"/>
  <c r="AB6" i="3"/>
  <c r="AC5" i="3"/>
  <c r="AB5" i="3"/>
  <c r="T5" i="3"/>
  <c r="AW16" i="12" l="1"/>
  <c r="AW21" i="12"/>
  <c r="AW18" i="12"/>
  <c r="R10" i="7"/>
  <c r="BA30" i="13"/>
  <c r="BG30" i="13" s="1"/>
  <c r="AV30" i="13"/>
  <c r="AW30" i="13" s="1"/>
  <c r="BC30" i="13" s="1"/>
  <c r="AY30" i="13"/>
  <c r="BE30" i="13" s="1"/>
  <c r="AZ30" i="13"/>
  <c r="BF30" i="13" s="1"/>
  <c r="BB30" i="13"/>
  <c r="BH30" i="13" s="1"/>
  <c r="AX30" i="13"/>
  <c r="BD30" i="13" s="1"/>
  <c r="AW13" i="12"/>
  <c r="AV29" i="13"/>
  <c r="AW29" i="13" s="1"/>
  <c r="BC29" i="13" s="1"/>
  <c r="BB29" i="13"/>
  <c r="BH29" i="13" s="1"/>
  <c r="AX29" i="13"/>
  <c r="BD29" i="13" s="1"/>
  <c r="AZ29" i="13"/>
  <c r="BF29" i="13" s="1"/>
  <c r="AY29" i="13"/>
  <c r="BE29" i="13" s="1"/>
  <c r="BA29" i="13"/>
  <c r="BG29" i="13" s="1"/>
  <c r="AX32" i="13"/>
  <c r="BD32" i="13" s="1"/>
  <c r="AV32" i="13"/>
  <c r="AW32" i="13" s="1"/>
  <c r="BC32" i="13" s="1"/>
  <c r="BB32" i="13"/>
  <c r="BH32" i="13" s="1"/>
  <c r="AZ32" i="13"/>
  <c r="BF32" i="13" s="1"/>
  <c r="BA32" i="13"/>
  <c r="BG32" i="13" s="1"/>
  <c r="AY32" i="13"/>
  <c r="BE32" i="13" s="1"/>
  <c r="AW11" i="12"/>
  <c r="AW10" i="12"/>
  <c r="BB31" i="13"/>
  <c r="BH31" i="13" s="1"/>
  <c r="AV31" i="13"/>
  <c r="AW31" i="13" s="1"/>
  <c r="BC31" i="13" s="1"/>
  <c r="BA31" i="13"/>
  <c r="BG31" i="13" s="1"/>
  <c r="AY31" i="13"/>
  <c r="BE31" i="13" s="1"/>
  <c r="AX31" i="13"/>
  <c r="BD31" i="13" s="1"/>
  <c r="AZ31" i="13"/>
  <c r="BF31" i="13" s="1"/>
  <c r="V38" i="12"/>
  <c r="V41" i="12"/>
  <c r="V42" i="12"/>
  <c r="AZ23" i="12"/>
  <c r="BF23" i="12" s="1"/>
  <c r="BA23" i="12"/>
  <c r="BG23" i="12" s="1"/>
  <c r="BB23" i="12"/>
  <c r="BH23" i="12" s="1"/>
  <c r="AX23" i="12"/>
  <c r="BD23" i="12" s="1"/>
  <c r="BC23" i="12"/>
  <c r="BI23" i="12" s="1"/>
  <c r="AY23" i="12"/>
  <c r="BE23" i="12" s="1"/>
  <c r="BA15" i="12"/>
  <c r="BG15" i="12" s="1"/>
  <c r="AX15" i="12"/>
  <c r="BD15" i="12" s="1"/>
  <c r="AY15" i="12"/>
  <c r="BE15" i="12" s="1"/>
  <c r="AZ15" i="12"/>
  <c r="BF15" i="12" s="1"/>
  <c r="BC15" i="12"/>
  <c r="BI15" i="12" s="1"/>
  <c r="BB15" i="12"/>
  <c r="BH15" i="12" s="1"/>
  <c r="BC16" i="12"/>
  <c r="BI16" i="12" s="1"/>
  <c r="AX16" i="12"/>
  <c r="BD16" i="12" s="1"/>
  <c r="AZ16" i="12"/>
  <c r="BF16" i="12" s="1"/>
  <c r="BB16" i="12"/>
  <c r="BH16" i="12" s="1"/>
  <c r="AY16" i="12"/>
  <c r="BE16" i="12" s="1"/>
  <c r="BA16" i="12"/>
  <c r="BG16" i="12" s="1"/>
  <c r="BA25" i="12"/>
  <c r="BG25" i="12" s="1"/>
  <c r="AY25" i="12"/>
  <c r="BE25" i="12" s="1"/>
  <c r="BC25" i="12"/>
  <c r="BI25" i="12" s="1"/>
  <c r="AX25" i="12"/>
  <c r="BD25" i="12" s="1"/>
  <c r="BB25" i="12"/>
  <c r="BH25" i="12" s="1"/>
  <c r="AZ25" i="12"/>
  <c r="BF25" i="12" s="1"/>
  <c r="AY21" i="12"/>
  <c r="BE21" i="12" s="1"/>
  <c r="AX21" i="12"/>
  <c r="BD21" i="12" s="1"/>
  <c r="AZ21" i="12"/>
  <c r="BF21" i="12" s="1"/>
  <c r="BA21" i="12"/>
  <c r="BG21" i="12" s="1"/>
  <c r="BB21" i="12"/>
  <c r="BH21" i="12" s="1"/>
  <c r="BC21" i="12"/>
  <c r="BI21" i="12" s="1"/>
  <c r="AY19" i="12"/>
  <c r="BE19" i="12" s="1"/>
  <c r="AX19" i="12"/>
  <c r="BD19" i="12" s="1"/>
  <c r="BC19" i="12"/>
  <c r="BI19" i="12" s="1"/>
  <c r="BB19" i="12"/>
  <c r="BH19" i="12" s="1"/>
  <c r="AZ19" i="12"/>
  <c r="BF19" i="12" s="1"/>
  <c r="BA19" i="12"/>
  <c r="BG19" i="12" s="1"/>
  <c r="V40" i="12"/>
  <c r="BD30" i="12"/>
  <c r="AY30" i="12"/>
  <c r="BE30" i="12" s="1"/>
  <c r="AZ30" i="12"/>
  <c r="BF30" i="12" s="1"/>
  <c r="AW30" i="12"/>
  <c r="AX30" i="12" s="1"/>
  <c r="BA30" i="12"/>
  <c r="BG30" i="12" s="1"/>
  <c r="BC30" i="12"/>
  <c r="BI30" i="12" s="1"/>
  <c r="BB30" i="12"/>
  <c r="BH30" i="12" s="1"/>
  <c r="BC32" i="12"/>
  <c r="BI32" i="12" s="1"/>
  <c r="BB32" i="12"/>
  <c r="BH32" i="12" s="1"/>
  <c r="AZ32" i="12"/>
  <c r="BF32" i="12" s="1"/>
  <c r="BA32" i="12"/>
  <c r="BG32" i="12" s="1"/>
  <c r="AW32" i="12"/>
  <c r="AX32" i="12" s="1"/>
  <c r="BD32" i="12" s="1"/>
  <c r="AY32" i="12"/>
  <c r="BE32" i="12" s="1"/>
  <c r="BC27" i="12"/>
  <c r="BI27" i="12" s="1"/>
  <c r="AX27" i="12"/>
  <c r="BD27" i="12"/>
  <c r="AZ27" i="12"/>
  <c r="BF27" i="12" s="1"/>
  <c r="BA27" i="12"/>
  <c r="BG27" i="12" s="1"/>
  <c r="BB27" i="12"/>
  <c r="BH27" i="12" s="1"/>
  <c r="AY27" i="12"/>
  <c r="BE27" i="12" s="1"/>
  <c r="AX17" i="12"/>
  <c r="BC14" i="12"/>
  <c r="BI14" i="12" s="1"/>
  <c r="BA14" i="12"/>
  <c r="BG14" i="12" s="1"/>
  <c r="AY14" i="12"/>
  <c r="BE14" i="12" s="1"/>
  <c r="BB14" i="12"/>
  <c r="BH14" i="12" s="1"/>
  <c r="AZ14" i="12"/>
  <c r="BF14" i="12" s="1"/>
  <c r="AX14" i="12"/>
  <c r="BD14" i="12" s="1"/>
  <c r="BC29" i="12"/>
  <c r="BI29" i="12" s="1"/>
  <c r="AZ29" i="12"/>
  <c r="BF29" i="12" s="1"/>
  <c r="AW29" i="12"/>
  <c r="AX29" i="12" s="1"/>
  <c r="BD29" i="12" s="1"/>
  <c r="BB29" i="12"/>
  <c r="BH29" i="12" s="1"/>
  <c r="AY29" i="12"/>
  <c r="BE29" i="12" s="1"/>
  <c r="BA29" i="12"/>
  <c r="BG29" i="12" s="1"/>
  <c r="P38" i="12"/>
  <c r="BA9" i="12"/>
  <c r="BG9" i="12" s="1"/>
  <c r="AY9" i="12"/>
  <c r="BE9" i="12" s="1"/>
  <c r="AX9" i="12"/>
  <c r="BC9" i="12"/>
  <c r="BI9" i="12" s="1"/>
  <c r="AZ9" i="12"/>
  <c r="BF9" i="12" s="1"/>
  <c r="BB9" i="12"/>
  <c r="BH9" i="12" s="1"/>
  <c r="AX20" i="12"/>
  <c r="BD20" i="12" s="1"/>
  <c r="AZ20" i="12"/>
  <c r="BF20" i="12" s="1"/>
  <c r="BA20" i="12"/>
  <c r="BG20" i="12" s="1"/>
  <c r="AY20" i="12"/>
  <c r="BE20" i="12" s="1"/>
  <c r="BB20" i="12"/>
  <c r="BH20" i="12" s="1"/>
  <c r="BC20" i="12"/>
  <c r="BI20" i="12" s="1"/>
  <c r="P41" i="12"/>
  <c r="AY22" i="12"/>
  <c r="BE22" i="12" s="1"/>
  <c r="BA22" i="12"/>
  <c r="BG22" i="12" s="1"/>
  <c r="AX22" i="12"/>
  <c r="BD22" i="12" s="1"/>
  <c r="AZ22" i="12"/>
  <c r="BF22" i="12" s="1"/>
  <c r="BC22" i="12"/>
  <c r="BI22" i="12" s="1"/>
  <c r="BB22" i="12"/>
  <c r="BH22" i="12" s="1"/>
  <c r="AZ10" i="12"/>
  <c r="BF10" i="12" s="1"/>
  <c r="AX10" i="12"/>
  <c r="BD10" i="12" s="1"/>
  <c r="AY10" i="12"/>
  <c r="BE10" i="12" s="1"/>
  <c r="BC10" i="12"/>
  <c r="BI10" i="12" s="1"/>
  <c r="BA10" i="12"/>
  <c r="BG10" i="12" s="1"/>
  <c r="BB10" i="12"/>
  <c r="BH10" i="12" s="1"/>
  <c r="AX8" i="12"/>
  <c r="BD8" i="12" s="1"/>
  <c r="AZ8" i="12"/>
  <c r="BF8" i="12" s="1"/>
  <c r="BC8" i="12"/>
  <c r="BI8" i="12" s="1"/>
  <c r="AY8" i="12"/>
  <c r="BE8" i="12" s="1"/>
  <c r="BA8" i="12"/>
  <c r="BG8" i="12" s="1"/>
  <c r="BB8" i="12"/>
  <c r="BH8" i="12" s="1"/>
  <c r="BB24" i="12"/>
  <c r="BH24" i="12" s="1"/>
  <c r="AZ24" i="12"/>
  <c r="BF24" i="12" s="1"/>
  <c r="BC24" i="12"/>
  <c r="BI24" i="12" s="1"/>
  <c r="AX24" i="12"/>
  <c r="BD24" i="12" s="1"/>
  <c r="BA24" i="12"/>
  <c r="BG24" i="12" s="1"/>
  <c r="AY24" i="12"/>
  <c r="BE24" i="12" s="1"/>
  <c r="P42" i="12"/>
  <c r="BB26" i="12"/>
  <c r="BH26" i="12" s="1"/>
  <c r="BC26" i="12"/>
  <c r="BI26" i="12" s="1"/>
  <c r="BA26" i="12"/>
  <c r="BG26" i="12" s="1"/>
  <c r="AX26" i="12"/>
  <c r="BD26" i="12" s="1"/>
  <c r="AZ26" i="12"/>
  <c r="BF26" i="12" s="1"/>
  <c r="AY26" i="12"/>
  <c r="BE26" i="12" s="1"/>
  <c r="V39" i="12"/>
  <c r="P39" i="12"/>
  <c r="BB13" i="12"/>
  <c r="BH13" i="12" s="1"/>
  <c r="BC13" i="12"/>
  <c r="BI13" i="12" s="1"/>
  <c r="AX13" i="12"/>
  <c r="BD13" i="12" s="1"/>
  <c r="AZ13" i="12"/>
  <c r="BF13" i="12" s="1"/>
  <c r="BA13" i="12"/>
  <c r="BG13" i="12" s="1"/>
  <c r="AY13" i="12"/>
  <c r="BE13" i="12" s="1"/>
  <c r="AZ31" i="12"/>
  <c r="BF31" i="12" s="1"/>
  <c r="AW31" i="12"/>
  <c r="AX31" i="12" s="1"/>
  <c r="BD31" i="12" s="1"/>
  <c r="BA31" i="12"/>
  <c r="BG31" i="12" s="1"/>
  <c r="BB31" i="12"/>
  <c r="BH31" i="12" s="1"/>
  <c r="BC31" i="12"/>
  <c r="BI31" i="12" s="1"/>
  <c r="AY31" i="12"/>
  <c r="BE31" i="12" s="1"/>
  <c r="AE34" i="12"/>
  <c r="AZ12" i="12"/>
  <c r="BF12" i="12" s="1"/>
  <c r="BB12" i="12"/>
  <c r="BH12" i="12" s="1"/>
  <c r="AY12" i="12"/>
  <c r="BE12" i="12" s="1"/>
  <c r="BA12" i="12"/>
  <c r="BG12" i="12" s="1"/>
  <c r="AX12" i="12"/>
  <c r="BD12" i="12" s="1"/>
  <c r="BC12" i="12"/>
  <c r="BI12" i="12" s="1"/>
  <c r="BB11" i="12"/>
  <c r="BH11" i="12" s="1"/>
  <c r="AY11" i="12"/>
  <c r="BE11" i="12" s="1"/>
  <c r="BC11" i="12"/>
  <c r="BI11" i="12" s="1"/>
  <c r="AZ11" i="12"/>
  <c r="BF11" i="12" s="1"/>
  <c r="BA11" i="12"/>
  <c r="BG11" i="12" s="1"/>
  <c r="AX11" i="12"/>
  <c r="BD11" i="12" s="1"/>
  <c r="P40" i="12"/>
  <c r="AZ18" i="12"/>
  <c r="BF18" i="12" s="1"/>
  <c r="BC18" i="12"/>
  <c r="BI18" i="12" s="1"/>
  <c r="BA18" i="12"/>
  <c r="BG18" i="12" s="1"/>
  <c r="AX18" i="12"/>
  <c r="BD18" i="12" s="1"/>
  <c r="AY18" i="12"/>
  <c r="BE18" i="12" s="1"/>
  <c r="BB18" i="12"/>
  <c r="BH18" i="12" s="1"/>
  <c r="BC28" i="12"/>
  <c r="BI28" i="12" s="1"/>
  <c r="AX28" i="12"/>
  <c r="BB28" i="12"/>
  <c r="BH28" i="12" s="1"/>
  <c r="BA28" i="12"/>
  <c r="BG28" i="12" s="1"/>
  <c r="AY28" i="12"/>
  <c r="BE28" i="12" s="1"/>
  <c r="AZ28" i="12"/>
  <c r="BF28" i="12" s="1"/>
  <c r="BD28" i="12"/>
  <c r="AE12" i="3"/>
  <c r="AO12" i="3"/>
  <c r="AE16" i="3"/>
  <c r="AO16" i="3"/>
  <c r="AE21" i="3"/>
  <c r="AO21" i="3"/>
  <c r="AE22" i="3"/>
  <c r="AO22" i="3"/>
  <c r="AE27" i="3"/>
  <c r="AO27" i="3"/>
  <c r="AE28" i="3"/>
  <c r="AO28" i="3"/>
  <c r="AE11" i="3"/>
  <c r="AO11" i="3"/>
  <c r="AE23" i="3"/>
  <c r="AO23" i="3"/>
  <c r="AE9" i="3"/>
  <c r="AO9" i="3"/>
  <c r="AE14" i="3"/>
  <c r="AO14" i="3"/>
  <c r="AE15" i="3"/>
  <c r="AO15" i="3"/>
  <c r="AE20" i="3"/>
  <c r="AO20" i="3"/>
  <c r="AE26" i="3"/>
  <c r="AO26" i="3"/>
  <c r="AO8" i="3"/>
  <c r="AO17" i="3"/>
  <c r="AE18" i="3"/>
  <c r="AO18" i="3"/>
  <c r="AE10" i="3"/>
  <c r="AO10" i="3"/>
  <c r="AE13" i="3"/>
  <c r="AO13" i="3"/>
  <c r="AE19" i="3"/>
  <c r="AO19" i="3"/>
  <c r="AE24" i="3"/>
  <c r="AO24" i="3"/>
  <c r="AE25" i="3"/>
  <c r="AO25" i="3"/>
  <c r="E15" i="3"/>
  <c r="AA9" i="3"/>
  <c r="AA21" i="3"/>
  <c r="AA23" i="3"/>
  <c r="AA10" i="3"/>
  <c r="AA22" i="3"/>
  <c r="AA13" i="3"/>
  <c r="AA25" i="3"/>
  <c r="AA14" i="3"/>
  <c r="AA26" i="3"/>
  <c r="AA28" i="3"/>
  <c r="AA15" i="3"/>
  <c r="AA27" i="3"/>
  <c r="AA19" i="3"/>
  <c r="AA12" i="3"/>
  <c r="AA16" i="3"/>
  <c r="AA17" i="3"/>
  <c r="AA8" i="3"/>
  <c r="AA18" i="3"/>
  <c r="AA20" i="3"/>
  <c r="AA11" i="3"/>
  <c r="AA24" i="3"/>
  <c r="W9" i="3"/>
  <c r="AP9" i="3" s="1"/>
  <c r="W17" i="3"/>
  <c r="AP17" i="3" s="1"/>
  <c r="B35" i="3"/>
  <c r="Y5" i="3"/>
  <c r="Y7" i="3"/>
  <c r="W11" i="3"/>
  <c r="AP11" i="3" s="1"/>
  <c r="AA5" i="3"/>
  <c r="Y6" i="3"/>
  <c r="V7" i="3"/>
  <c r="AA7" i="3"/>
  <c r="W27" i="3"/>
  <c r="AP27" i="3" s="1"/>
  <c r="W24" i="3"/>
  <c r="AP24" i="3" s="1"/>
  <c r="W21" i="3"/>
  <c r="AP21" i="3" s="1"/>
  <c r="W19" i="3"/>
  <c r="AP19" i="3" s="1"/>
  <c r="W16" i="3"/>
  <c r="AP16" i="3" s="1"/>
  <c r="W13" i="3"/>
  <c r="AP13" i="3" s="1"/>
  <c r="W28" i="3"/>
  <c r="AP28" i="3" s="1"/>
  <c r="W25" i="3"/>
  <c r="AP25" i="3" s="1"/>
  <c r="W22" i="3"/>
  <c r="AP22" i="3" s="1"/>
  <c r="W14" i="3"/>
  <c r="AP14" i="3" s="1"/>
  <c r="W10" i="3"/>
  <c r="AP10" i="3" s="1"/>
  <c r="D10" i="3"/>
  <c r="W23" i="3"/>
  <c r="AP23" i="3" s="1"/>
  <c r="W15" i="3"/>
  <c r="AP15" i="3" s="1"/>
  <c r="W12" i="3"/>
  <c r="AP12" i="3" s="1"/>
  <c r="W5" i="3"/>
  <c r="W18" i="3"/>
  <c r="AP18" i="3" s="1"/>
  <c r="W7" i="3"/>
  <c r="X17" i="3"/>
  <c r="V6" i="3"/>
  <c r="W20" i="3"/>
  <c r="AP20" i="3" s="1"/>
  <c r="W26" i="3"/>
  <c r="AP26" i="3" s="1"/>
  <c r="V5" i="3"/>
  <c r="W6" i="3"/>
  <c r="W8" i="3"/>
  <c r="AP8" i="3" s="1"/>
  <c r="AA6" i="3"/>
  <c r="D31" i="3"/>
  <c r="D32" i="3"/>
  <c r="AX33" i="12" l="1"/>
  <c r="BD33" i="12" s="1"/>
  <c r="BD9" i="12"/>
  <c r="X38" i="12" s="1"/>
  <c r="X39" i="12"/>
  <c r="X40" i="12"/>
  <c r="W41" i="12"/>
  <c r="X42" i="12"/>
  <c r="W40" i="12"/>
  <c r="W39" i="12"/>
  <c r="X41" i="12"/>
  <c r="W38" i="12"/>
  <c r="W42" i="12"/>
  <c r="Q38" i="3"/>
  <c r="Q40" i="3"/>
  <c r="Q41" i="3"/>
  <c r="O42" i="3"/>
  <c r="AE34" i="3"/>
  <c r="Q39" i="3"/>
  <c r="Q42" i="3"/>
  <c r="U17" i="3"/>
  <c r="AS17" i="3" s="1"/>
  <c r="E10" i="3"/>
  <c r="Z9" i="3"/>
  <c r="Z21" i="3"/>
  <c r="Z8" i="3"/>
  <c r="Z19" i="3"/>
  <c r="Z10" i="3"/>
  <c r="Z22" i="3"/>
  <c r="Z11" i="3"/>
  <c r="Z23" i="3"/>
  <c r="Z12" i="3"/>
  <c r="Z24" i="3"/>
  <c r="Z13" i="3"/>
  <c r="Z25" i="3"/>
  <c r="Z14" i="3"/>
  <c r="Z26" i="3"/>
  <c r="Z15" i="3"/>
  <c r="Z27" i="3"/>
  <c r="Z16" i="3"/>
  <c r="Z28" i="3"/>
  <c r="Z20" i="3"/>
  <c r="Z17" i="3"/>
  <c r="Z18" i="3"/>
  <c r="O40" i="3"/>
  <c r="O38" i="3"/>
  <c r="O39" i="3"/>
  <c r="O41" i="3"/>
  <c r="U26" i="3"/>
  <c r="U23" i="3"/>
  <c r="U20" i="3"/>
  <c r="U18" i="3"/>
  <c r="U15" i="3"/>
  <c r="U12" i="3"/>
  <c r="U28" i="3"/>
  <c r="U27" i="3"/>
  <c r="U22" i="3"/>
  <c r="U21" i="3"/>
  <c r="AN21" i="3" s="1"/>
  <c r="U7" i="3"/>
  <c r="U25" i="3"/>
  <c r="AN25" i="3" s="1"/>
  <c r="U24" i="3"/>
  <c r="U11" i="3"/>
  <c r="U13" i="3"/>
  <c r="U10" i="3"/>
  <c r="U9" i="3"/>
  <c r="U16" i="3"/>
  <c r="AN16" i="3" s="1"/>
  <c r="U14" i="3"/>
  <c r="U6" i="3"/>
  <c r="U5" i="3"/>
  <c r="U19" i="3"/>
  <c r="U8" i="3"/>
  <c r="X28" i="3"/>
  <c r="X25" i="3"/>
  <c r="X22" i="3"/>
  <c r="X14" i="3"/>
  <c r="X26" i="3"/>
  <c r="X23" i="3"/>
  <c r="X20" i="3"/>
  <c r="X18" i="3"/>
  <c r="X15" i="3"/>
  <c r="X11" i="3"/>
  <c r="X24" i="3"/>
  <c r="X19" i="3"/>
  <c r="X8" i="3"/>
  <c r="X27" i="3"/>
  <c r="X9" i="3"/>
  <c r="X13" i="3"/>
  <c r="X5" i="3"/>
  <c r="X16" i="3"/>
  <c r="X12" i="3"/>
  <c r="X7" i="3"/>
  <c r="X21" i="3"/>
  <c r="X10" i="3"/>
  <c r="X6" i="3"/>
  <c r="AN22" i="3" l="1"/>
  <c r="AN27" i="3"/>
  <c r="AN14" i="3"/>
  <c r="AN12" i="3"/>
  <c r="AN9" i="3"/>
  <c r="AT9" i="3" s="1"/>
  <c r="AV9" i="3" s="1"/>
  <c r="AN19" i="3"/>
  <c r="AT19" i="3" s="1"/>
  <c r="AV19" i="3" s="1"/>
  <c r="AN15" i="3"/>
  <c r="AU17" i="3"/>
  <c r="AN17" i="3"/>
  <c r="AN18" i="3"/>
  <c r="AN20" i="3"/>
  <c r="AN8" i="3"/>
  <c r="AQ17" i="3"/>
  <c r="AR17" i="3"/>
  <c r="AN10" i="3"/>
  <c r="AN11" i="3"/>
  <c r="AN23" i="3"/>
  <c r="AT23" i="3" s="1"/>
  <c r="AV23" i="3" s="1"/>
  <c r="AN28" i="3"/>
  <c r="AT28" i="3" s="1"/>
  <c r="AV28" i="3" s="1"/>
  <c r="AN13" i="3"/>
  <c r="AN24" i="3"/>
  <c r="AN26" i="3"/>
  <c r="AS13" i="3"/>
  <c r="AR13" i="3"/>
  <c r="AQ13" i="3"/>
  <c r="AS14" i="3"/>
  <c r="AR14" i="3"/>
  <c r="AQ14" i="3"/>
  <c r="AR12" i="3"/>
  <c r="AS12" i="3"/>
  <c r="T39" i="3" s="1"/>
  <c r="AQ12" i="3"/>
  <c r="AS24" i="3"/>
  <c r="AQ24" i="3"/>
  <c r="AR24" i="3"/>
  <c r="AS19" i="3"/>
  <c r="AQ19" i="3"/>
  <c r="AR19" i="3"/>
  <c r="AS22" i="3"/>
  <c r="AR22" i="3"/>
  <c r="AQ22" i="3"/>
  <c r="AR23" i="3"/>
  <c r="AS23" i="3"/>
  <c r="AQ23" i="3"/>
  <c r="AS18" i="3"/>
  <c r="AR18" i="3"/>
  <c r="AQ18" i="3"/>
  <c r="AS9" i="3"/>
  <c r="AR9" i="3"/>
  <c r="AQ9" i="3"/>
  <c r="AR20" i="3"/>
  <c r="AS20" i="3"/>
  <c r="AQ20" i="3"/>
  <c r="AS10" i="3"/>
  <c r="AR10" i="3"/>
  <c r="S38" i="3" s="1"/>
  <c r="AQ10" i="3"/>
  <c r="AS16" i="3"/>
  <c r="AQ16" i="3"/>
  <c r="AR16" i="3"/>
  <c r="AS27" i="3"/>
  <c r="AQ27" i="3"/>
  <c r="AR27" i="3"/>
  <c r="AS11" i="3"/>
  <c r="AQ11" i="3"/>
  <c r="AR11" i="3"/>
  <c r="AS25" i="3"/>
  <c r="AR25" i="3"/>
  <c r="AQ25" i="3"/>
  <c r="AS21" i="3"/>
  <c r="AR21" i="3"/>
  <c r="AQ21" i="3"/>
  <c r="AS8" i="3"/>
  <c r="AR8" i="3"/>
  <c r="AQ8" i="3"/>
  <c r="AR15" i="3"/>
  <c r="AS15" i="3"/>
  <c r="AQ15" i="3"/>
  <c r="AS26" i="3"/>
  <c r="AR26" i="3"/>
  <c r="AQ26" i="3"/>
  <c r="AR28" i="3"/>
  <c r="AS28" i="3"/>
  <c r="AQ28" i="3"/>
  <c r="AU19" i="3"/>
  <c r="AU16" i="3"/>
  <c r="AT16" i="3" s="1"/>
  <c r="AV16" i="3" s="1"/>
  <c r="AU11" i="3"/>
  <c r="AU21" i="3"/>
  <c r="AT21" i="3" s="1"/>
  <c r="AV21" i="3" s="1"/>
  <c r="AU12" i="3"/>
  <c r="AU23" i="3"/>
  <c r="AU9" i="3"/>
  <c r="AU24" i="3"/>
  <c r="AU22" i="3"/>
  <c r="AU15" i="3"/>
  <c r="AU26" i="3"/>
  <c r="AU10" i="3"/>
  <c r="AU25" i="3"/>
  <c r="AT25" i="3" s="1"/>
  <c r="AV25" i="3" s="1"/>
  <c r="AU27" i="3"/>
  <c r="AU18" i="3"/>
  <c r="AU8" i="3"/>
  <c r="AU14" i="3"/>
  <c r="AU13" i="3"/>
  <c r="AU28" i="3"/>
  <c r="AU20" i="3"/>
  <c r="AX10" i="3"/>
  <c r="BD10" i="3" s="1"/>
  <c r="AK25" i="3"/>
  <c r="AX15" i="3"/>
  <c r="BD15" i="3" s="1"/>
  <c r="AK17" i="3"/>
  <c r="AK22" i="3"/>
  <c r="AK10" i="3"/>
  <c r="AK27" i="3"/>
  <c r="AK26" i="3"/>
  <c r="AK19" i="3"/>
  <c r="AX16" i="3"/>
  <c r="BD16" i="3" s="1"/>
  <c r="AK15" i="3"/>
  <c r="AK8" i="3"/>
  <c r="AK21" i="3"/>
  <c r="AX21" i="3"/>
  <c r="BD21" i="3" s="1"/>
  <c r="T42" i="3"/>
  <c r="AX12" i="3"/>
  <c r="BD12" i="3" s="1"/>
  <c r="AK14" i="3"/>
  <c r="AK9" i="3"/>
  <c r="AX17" i="3"/>
  <c r="BD17" i="3" s="1"/>
  <c r="AI24" i="3"/>
  <c r="AX24" i="3"/>
  <c r="BD24" i="3" s="1"/>
  <c r="AK24" i="3"/>
  <c r="AK16" i="3"/>
  <c r="AK18" i="3"/>
  <c r="AX11" i="3"/>
  <c r="BD11" i="3" s="1"/>
  <c r="AX25" i="3"/>
  <c r="BD25" i="3" s="1"/>
  <c r="AX20" i="3"/>
  <c r="BD20" i="3" s="1"/>
  <c r="AK20" i="3"/>
  <c r="AK12" i="3"/>
  <c r="AI20" i="3"/>
  <c r="AZ20" i="3" s="1"/>
  <c r="BF20" i="3" s="1"/>
  <c r="AH22" i="3"/>
  <c r="AI25" i="3"/>
  <c r="AK13" i="3"/>
  <c r="AX23" i="3"/>
  <c r="BD23" i="3" s="1"/>
  <c r="AK23" i="3"/>
  <c r="AX19" i="3"/>
  <c r="BD19" i="3" s="1"/>
  <c r="AK28" i="3"/>
  <c r="AK11" i="3"/>
  <c r="AJ23" i="3"/>
  <c r="BA23" i="3" s="1"/>
  <c r="BG23" i="3" s="1"/>
  <c r="AH14" i="3"/>
  <c r="AY14" i="3" s="1"/>
  <c r="BE14" i="3" s="1"/>
  <c r="AF25" i="3"/>
  <c r="AH19" i="3"/>
  <c r="AY19" i="3" s="1"/>
  <c r="BE19" i="3" s="1"/>
  <c r="AL21" i="3"/>
  <c r="AJ8" i="3"/>
  <c r="BA8" i="3" s="1"/>
  <c r="BG8" i="3" s="1"/>
  <c r="AH9" i="3"/>
  <c r="AI8" i="3"/>
  <c r="AZ8" i="3" s="1"/>
  <c r="BF8" i="3" s="1"/>
  <c r="AH16" i="3"/>
  <c r="AY16" i="3" s="1"/>
  <c r="BE16" i="3" s="1"/>
  <c r="AJ16" i="3"/>
  <c r="BA16" i="3" s="1"/>
  <c r="BG16" i="3" s="1"/>
  <c r="AH24" i="3"/>
  <c r="AY24" i="3" s="1"/>
  <c r="BE24" i="3" s="1"/>
  <c r="AI14" i="3"/>
  <c r="AZ14" i="3" s="1"/>
  <c r="BF14" i="3" s="1"/>
  <c r="AF10" i="3"/>
  <c r="AH21" i="3"/>
  <c r="AY21" i="3" s="1"/>
  <c r="BE21" i="3" s="1"/>
  <c r="AH11" i="3"/>
  <c r="AY11" i="3" s="1"/>
  <c r="BE11" i="3" s="1"/>
  <c r="AH15" i="3"/>
  <c r="AY15" i="3" s="1"/>
  <c r="BE15" i="3" s="1"/>
  <c r="AH17" i="3"/>
  <c r="AY17" i="3" s="1"/>
  <c r="BE17" i="3" s="1"/>
  <c r="AI19" i="3"/>
  <c r="AZ19" i="3" s="1"/>
  <c r="BF19" i="3" s="1"/>
  <c r="AH18" i="3"/>
  <c r="AH23" i="3"/>
  <c r="AY23" i="3" s="1"/>
  <c r="BE23" i="3" s="1"/>
  <c r="AJ18" i="3"/>
  <c r="AI21" i="3"/>
  <c r="AZ21" i="3" s="1"/>
  <c r="BF21" i="3" s="1"/>
  <c r="AL8" i="3"/>
  <c r="AL16" i="3"/>
  <c r="AF12" i="3"/>
  <c r="AM12" i="3"/>
  <c r="AH13" i="3"/>
  <c r="AL17" i="3"/>
  <c r="AJ15" i="3"/>
  <c r="AI22" i="3"/>
  <c r="AF13" i="3"/>
  <c r="AM13" i="3"/>
  <c r="AL12" i="3"/>
  <c r="AH12" i="3"/>
  <c r="AY12" i="3" s="1"/>
  <c r="BE12" i="3" s="1"/>
  <c r="AL22" i="3"/>
  <c r="AI17" i="3"/>
  <c r="AZ17" i="3" s="1"/>
  <c r="BF17" i="3" s="1"/>
  <c r="AM10" i="3"/>
  <c r="BB10" i="3" s="1"/>
  <c r="BH10" i="3" s="1"/>
  <c r="AJ17" i="3"/>
  <c r="BA17" i="3" s="1"/>
  <c r="BG17" i="3" s="1"/>
  <c r="AL19" i="3"/>
  <c r="AF24" i="3"/>
  <c r="AM24" i="3"/>
  <c r="AF20" i="3"/>
  <c r="AM20" i="3"/>
  <c r="BB20" i="3" s="1"/>
  <c r="BH20" i="3" s="1"/>
  <c r="AJ12" i="3"/>
  <c r="BA12" i="3" s="1"/>
  <c r="BG12" i="3" s="1"/>
  <c r="AF17" i="3"/>
  <c r="AM17" i="3"/>
  <c r="BB17" i="3" s="1"/>
  <c r="BH17" i="3" s="1"/>
  <c r="AI10" i="3"/>
  <c r="AM25" i="3"/>
  <c r="BB25" i="3" s="1"/>
  <c r="BH25" i="3" s="1"/>
  <c r="AI11" i="3"/>
  <c r="AF23" i="3"/>
  <c r="AM23" i="3"/>
  <c r="AF15" i="3"/>
  <c r="AM15" i="3"/>
  <c r="AF18" i="3"/>
  <c r="AM18" i="3"/>
  <c r="AJ22" i="3"/>
  <c r="AJ20" i="3"/>
  <c r="AF8" i="3"/>
  <c r="AM8" i="3"/>
  <c r="BB8" i="3" s="1"/>
  <c r="BH8" i="3" s="1"/>
  <c r="AI12" i="3"/>
  <c r="AZ12" i="3" s="1"/>
  <c r="BF12" i="3" s="1"/>
  <c r="AI15" i="3"/>
  <c r="AF19" i="3"/>
  <c r="AM19" i="3"/>
  <c r="AJ10" i="3"/>
  <c r="BA10" i="3" s="1"/>
  <c r="BG10" i="3" s="1"/>
  <c r="AL18" i="3"/>
  <c r="AL23" i="3"/>
  <c r="AF11" i="3"/>
  <c r="AM11" i="3"/>
  <c r="AL25" i="3"/>
  <c r="AI16" i="3"/>
  <c r="AZ16" i="3" s="1"/>
  <c r="BF16" i="3" s="1"/>
  <c r="AI18" i="3"/>
  <c r="AF21" i="3"/>
  <c r="AM21" i="3"/>
  <c r="AL13" i="3"/>
  <c r="AJ19" i="3"/>
  <c r="AL20" i="3"/>
  <c r="AH8" i="3"/>
  <c r="AY8" i="3" s="1"/>
  <c r="BE8" i="3" s="1"/>
  <c r="AL14" i="3"/>
  <c r="AI13" i="3"/>
  <c r="AI23" i="3"/>
  <c r="AF14" i="3"/>
  <c r="AM14" i="3"/>
  <c r="BB14" i="3" s="1"/>
  <c r="BH14" i="3" s="1"/>
  <c r="AH25" i="3"/>
  <c r="AY25" i="3" s="1"/>
  <c r="BE25" i="3" s="1"/>
  <c r="AJ13" i="3"/>
  <c r="AL10" i="3"/>
  <c r="AL24" i="3"/>
  <c r="AL11" i="3"/>
  <c r="AJ21" i="3"/>
  <c r="BA21" i="3" s="1"/>
  <c r="BG21" i="3" s="1"/>
  <c r="AF22" i="3"/>
  <c r="AM22" i="3"/>
  <c r="AI9" i="3"/>
  <c r="AF16" i="3"/>
  <c r="AM16" i="3"/>
  <c r="BB16" i="3" s="1"/>
  <c r="BH16" i="3" s="1"/>
  <c r="AL15" i="3"/>
  <c r="AH10" i="3"/>
  <c r="AY10" i="3" s="1"/>
  <c r="BE10" i="3" s="1"/>
  <c r="AJ9" i="3"/>
  <c r="AH20" i="3"/>
  <c r="AY20" i="3" s="1"/>
  <c r="BE20" i="3" s="1"/>
  <c r="AJ24" i="3"/>
  <c r="AF9" i="3"/>
  <c r="AM9" i="3"/>
  <c r="AJ25" i="3"/>
  <c r="BA25" i="3" s="1"/>
  <c r="BG25" i="3" s="1"/>
  <c r="AL9" i="3"/>
  <c r="AJ11" i="3"/>
  <c r="AJ14" i="3"/>
  <c r="BA14" i="3" s="1"/>
  <c r="BG14" i="3" s="1"/>
  <c r="AX28" i="3"/>
  <c r="BD28" i="3" s="1"/>
  <c r="AH28" i="3"/>
  <c r="AY28" i="3" s="1"/>
  <c r="BE28" i="3" s="1"/>
  <c r="AL28" i="3"/>
  <c r="AI28" i="3"/>
  <c r="AJ28" i="3"/>
  <c r="BA28" i="3" s="1"/>
  <c r="BG28" i="3" s="1"/>
  <c r="AF28" i="3"/>
  <c r="AF27" i="3"/>
  <c r="AH27" i="3"/>
  <c r="AX27" i="3"/>
  <c r="BD27" i="3" s="1"/>
  <c r="AI27" i="3"/>
  <c r="AZ27" i="3" s="1"/>
  <c r="BF27" i="3" s="1"/>
  <c r="AJ27" i="3"/>
  <c r="BA27" i="3" s="1"/>
  <c r="BG27" i="3" s="1"/>
  <c r="AL27" i="3"/>
  <c r="AI26" i="3"/>
  <c r="AH26" i="3"/>
  <c r="AJ26" i="3"/>
  <c r="AF26" i="3"/>
  <c r="AL26" i="3"/>
  <c r="AM27" i="3"/>
  <c r="BB27" i="3" s="1"/>
  <c r="BH27" i="3" s="1"/>
  <c r="AM28" i="3"/>
  <c r="BB28" i="3" s="1"/>
  <c r="BH28" i="3" s="1"/>
  <c r="AM26" i="3"/>
  <c r="AX14" i="3"/>
  <c r="BD14" i="3" s="1"/>
  <c r="AX8" i="3"/>
  <c r="BD8" i="3" s="1"/>
  <c r="BI22" i="3"/>
  <c r="BJ22" i="3" s="1"/>
  <c r="BI9" i="3"/>
  <c r="BJ9" i="3" s="1"/>
  <c r="BI12" i="3"/>
  <c r="BJ12" i="3" s="1"/>
  <c r="BI25" i="3"/>
  <c r="BJ25" i="3" s="1"/>
  <c r="BI8" i="3"/>
  <c r="BJ8" i="3" s="1"/>
  <c r="BI14" i="3"/>
  <c r="BJ14" i="3" s="1"/>
  <c r="BI13" i="3"/>
  <c r="BJ13" i="3" s="1"/>
  <c r="BI27" i="3"/>
  <c r="BJ27" i="3" s="1"/>
  <c r="BI23" i="3"/>
  <c r="BJ23" i="3" s="1"/>
  <c r="BI10" i="3"/>
  <c r="BJ10" i="3" s="1"/>
  <c r="BI19" i="3"/>
  <c r="BJ19" i="3" s="1"/>
  <c r="BI16" i="3"/>
  <c r="BJ16" i="3" s="1"/>
  <c r="BI11" i="3"/>
  <c r="BJ11" i="3" s="1"/>
  <c r="BI28" i="3"/>
  <c r="BJ28" i="3" s="1"/>
  <c r="BI15" i="3"/>
  <c r="BJ15" i="3" s="1"/>
  <c r="BI26" i="3"/>
  <c r="BJ26" i="3" s="1"/>
  <c r="BI24" i="3"/>
  <c r="BJ24" i="3" s="1"/>
  <c r="BI21" i="3"/>
  <c r="BJ21" i="3" s="1"/>
  <c r="BI18" i="3"/>
  <c r="BJ18" i="3" s="1"/>
  <c r="BI20" i="3"/>
  <c r="BJ20" i="3" s="1"/>
  <c r="AT26" i="3" l="1"/>
  <c r="AV26" i="3" s="1"/>
  <c r="AT17" i="3"/>
  <c r="AV17" i="3" s="1"/>
  <c r="AT24" i="3"/>
  <c r="AV24" i="3" s="1"/>
  <c r="AT13" i="3"/>
  <c r="AV13" i="3" s="1"/>
  <c r="AT15" i="3"/>
  <c r="AV15" i="3" s="1"/>
  <c r="T38" i="3"/>
  <c r="AT11" i="3"/>
  <c r="AV11" i="3" s="1"/>
  <c r="AT12" i="3"/>
  <c r="AV12" i="3" s="1"/>
  <c r="AW12" i="3" s="1"/>
  <c r="BC12" i="3" s="1"/>
  <c r="T40" i="3"/>
  <c r="AT10" i="3"/>
  <c r="AV10" i="3" s="1"/>
  <c r="R39" i="3"/>
  <c r="AT14" i="3"/>
  <c r="AV14" i="3" s="1"/>
  <c r="AW14" i="3" s="1"/>
  <c r="BC14" i="3" s="1"/>
  <c r="S42" i="3"/>
  <c r="AT27" i="3"/>
  <c r="AV27" i="3" s="1"/>
  <c r="AT8" i="3"/>
  <c r="AV8" i="3" s="1"/>
  <c r="AW8" i="3" s="1"/>
  <c r="AT20" i="3"/>
  <c r="AV20" i="3" s="1"/>
  <c r="T41" i="3"/>
  <c r="AT18" i="3"/>
  <c r="AV18" i="3" s="1"/>
  <c r="AT22" i="3"/>
  <c r="AV22" i="3" s="1"/>
  <c r="S39" i="3"/>
  <c r="R40" i="3"/>
  <c r="R38" i="3"/>
  <c r="R42" i="3"/>
  <c r="R41" i="3"/>
  <c r="S41" i="3"/>
  <c r="S40" i="3"/>
  <c r="BC8" i="3"/>
  <c r="P42" i="3"/>
  <c r="AW9" i="3"/>
  <c r="BC9" i="3" s="1"/>
  <c r="AW15" i="3"/>
  <c r="BC15" i="3" s="1"/>
  <c r="AW22" i="3"/>
  <c r="BC22" i="3" s="1"/>
  <c r="AW13" i="3"/>
  <c r="BC13" i="3" s="1"/>
  <c r="P39" i="3"/>
  <c r="AW11" i="3"/>
  <c r="BC11" i="3" s="1"/>
  <c r="AW19" i="3"/>
  <c r="BC19" i="3" s="1"/>
  <c r="AW21" i="3"/>
  <c r="BC21" i="3" s="1"/>
  <c r="AW24" i="3"/>
  <c r="BC24" i="3" s="1"/>
  <c r="P41" i="3"/>
  <c r="F42" i="3"/>
  <c r="F41" i="3"/>
  <c r="F38" i="3"/>
  <c r="F40" i="3"/>
  <c r="F39" i="3"/>
  <c r="P40" i="3"/>
  <c r="P38" i="3"/>
  <c r="M40" i="3"/>
  <c r="M38" i="3"/>
  <c r="M41" i="3"/>
  <c r="M42" i="3"/>
  <c r="M39" i="3"/>
  <c r="J42" i="3"/>
  <c r="L42" i="3"/>
  <c r="U38" i="3"/>
  <c r="H42" i="3"/>
  <c r="K42" i="3"/>
  <c r="AZ28" i="3"/>
  <c r="BF28" i="3" s="1"/>
  <c r="U42" i="3"/>
  <c r="G42" i="3"/>
  <c r="I42" i="3"/>
  <c r="BA11" i="3"/>
  <c r="BG11" i="3" s="1"/>
  <c r="AZ23" i="3"/>
  <c r="BF23" i="3" s="1"/>
  <c r="BB12" i="3"/>
  <c r="BH12" i="3" s="1"/>
  <c r="BB15" i="3"/>
  <c r="BH15" i="3" s="1"/>
  <c r="BB24" i="3"/>
  <c r="BH24" i="3" s="1"/>
  <c r="BB19" i="3"/>
  <c r="BH19" i="3" s="1"/>
  <c r="BA19" i="3"/>
  <c r="BG19" i="3" s="1"/>
  <c r="AZ24" i="3"/>
  <c r="BF24" i="3" s="1"/>
  <c r="BB23" i="3"/>
  <c r="BH23" i="3" s="1"/>
  <c r="AY27" i="3"/>
  <c r="BE27" i="3" s="1"/>
  <c r="AZ15" i="3"/>
  <c r="BF15" i="3" s="1"/>
  <c r="BA15" i="3"/>
  <c r="BG15" i="3" s="1"/>
  <c r="AZ11" i="3"/>
  <c r="BF11" i="3" s="1"/>
  <c r="BA20" i="3"/>
  <c r="BG20" i="3" s="1"/>
  <c r="BA24" i="3"/>
  <c r="BG24" i="3" s="1"/>
  <c r="AZ18" i="3"/>
  <c r="BF18" i="3" s="1"/>
  <c r="AZ10" i="3"/>
  <c r="BF10" i="3" s="1"/>
  <c r="BB22" i="3"/>
  <c r="BH22" i="3" s="1"/>
  <c r="AZ25" i="3"/>
  <c r="BF25" i="3" s="1"/>
  <c r="BB21" i="3"/>
  <c r="BH21" i="3" s="1"/>
  <c r="BB11" i="3"/>
  <c r="BH11" i="3" s="1"/>
  <c r="BA26" i="3"/>
  <c r="BG26" i="3" s="1"/>
  <c r="AZ22" i="3"/>
  <c r="BF22" i="3" s="1"/>
  <c r="U39" i="3"/>
  <c r="AY13" i="3"/>
  <c r="BE13" i="3" s="1"/>
  <c r="I39" i="3"/>
  <c r="AY26" i="3"/>
  <c r="BE26" i="3" s="1"/>
  <c r="AZ26" i="3"/>
  <c r="BF26" i="3" s="1"/>
  <c r="BB13" i="3"/>
  <c r="BH13" i="3" s="1"/>
  <c r="L39" i="3"/>
  <c r="AX26" i="3"/>
  <c r="BD26" i="3" s="1"/>
  <c r="BA13" i="3"/>
  <c r="BG13" i="3" s="1"/>
  <c r="K39" i="3"/>
  <c r="BB18" i="3"/>
  <c r="BH18" i="3" s="1"/>
  <c r="U40" i="3"/>
  <c r="BA22" i="3"/>
  <c r="BG22" i="3" s="1"/>
  <c r="AY18" i="3"/>
  <c r="BE18" i="3" s="1"/>
  <c r="I40" i="3"/>
  <c r="BB26" i="3"/>
  <c r="BH26" i="3" s="1"/>
  <c r="AX22" i="3"/>
  <c r="BD22" i="3" s="1"/>
  <c r="H41" i="3"/>
  <c r="J40" i="3"/>
  <c r="BA18" i="3"/>
  <c r="BG18" i="3" s="1"/>
  <c r="AZ13" i="3"/>
  <c r="BF13" i="3" s="1"/>
  <c r="J39" i="3"/>
  <c r="AY22" i="3"/>
  <c r="BE22" i="3" s="1"/>
  <c r="I41" i="3"/>
  <c r="U41" i="3"/>
  <c r="AY9" i="3"/>
  <c r="BE9" i="3" s="1"/>
  <c r="I38" i="3"/>
  <c r="BB9" i="3"/>
  <c r="BH9" i="3" s="1"/>
  <c r="L38" i="3"/>
  <c r="BA9" i="3"/>
  <c r="BG9" i="3" s="1"/>
  <c r="K38" i="3"/>
  <c r="AZ9" i="3"/>
  <c r="BF9" i="3" s="1"/>
  <c r="G39" i="3"/>
  <c r="H39" i="3"/>
  <c r="AX13" i="3"/>
  <c r="BD13" i="3" s="1"/>
  <c r="H40" i="3"/>
  <c r="AX18" i="3"/>
  <c r="BD18" i="3" s="1"/>
  <c r="G38" i="3"/>
  <c r="G41" i="3"/>
  <c r="H38" i="3"/>
  <c r="AX9" i="3"/>
  <c r="BD9" i="3" s="1"/>
  <c r="G40" i="3"/>
  <c r="AW27" i="3" l="1"/>
  <c r="BC27" i="3" s="1"/>
  <c r="AW18" i="3"/>
  <c r="BC18" i="3" s="1"/>
  <c r="AW16" i="3"/>
  <c r="BC16" i="3" s="1"/>
  <c r="W39" i="3" s="1"/>
  <c r="AW23" i="3"/>
  <c r="BC23" i="3" s="1"/>
  <c r="AW10" i="3"/>
  <c r="BC10" i="3" s="1"/>
  <c r="W38" i="3" s="1"/>
  <c r="AW26" i="3"/>
  <c r="BC26" i="3" s="1"/>
  <c r="AW20" i="3"/>
  <c r="BC20" i="3" s="1"/>
  <c r="AW28" i="3"/>
  <c r="BC28" i="3" s="1"/>
  <c r="AW17" i="3"/>
  <c r="BC17" i="3" s="1"/>
  <c r="AW25" i="3"/>
  <c r="BC25" i="3" s="1"/>
  <c r="V42" i="3"/>
  <c r="L41" i="3"/>
  <c r="J41" i="3"/>
  <c r="V41" i="3"/>
  <c r="K41" i="3"/>
  <c r="J38" i="3"/>
  <c r="K40" i="3"/>
  <c r="L40" i="3"/>
  <c r="V40" i="3"/>
  <c r="V39" i="3"/>
  <c r="V38" i="3"/>
  <c r="W41" i="3" l="1"/>
  <c r="W42" i="3"/>
  <c r="W40" i="3"/>
  <c r="AW33" i="3"/>
</calcChain>
</file>

<file path=xl/sharedStrings.xml><?xml version="1.0" encoding="utf-8"?>
<sst xmlns="http://schemas.openxmlformats.org/spreadsheetml/2006/main" count="1005" uniqueCount="103">
  <si>
    <t>Data</t>
  </si>
  <si>
    <t>Catalisador</t>
  </si>
  <si>
    <t>Massa (g)</t>
  </si>
  <si>
    <t>Pressão (atm)</t>
  </si>
  <si>
    <t>Fatores de resposta</t>
  </si>
  <si>
    <t>mol/u.a.</t>
  </si>
  <si>
    <t>C2H6</t>
  </si>
  <si>
    <t>C2H4</t>
  </si>
  <si>
    <t>CO2</t>
  </si>
  <si>
    <t xml:space="preserve">CO </t>
  </si>
  <si>
    <t>CH4</t>
  </si>
  <si>
    <t>H2</t>
  </si>
  <si>
    <t>O2</t>
  </si>
  <si>
    <t>N2</t>
  </si>
  <si>
    <t>Detector</t>
  </si>
  <si>
    <t>FID1</t>
  </si>
  <si>
    <t>TCD2</t>
  </si>
  <si>
    <t>TCD3</t>
  </si>
  <si>
    <t>C3H8</t>
  </si>
  <si>
    <t>C3H6</t>
  </si>
  <si>
    <t>vazão C3H8</t>
  </si>
  <si>
    <t>mL/min</t>
  </si>
  <si>
    <t>L/h</t>
  </si>
  <si>
    <r>
      <t>mol</t>
    </r>
    <r>
      <rPr>
        <vertAlign val="subscript"/>
        <sz val="11"/>
        <color theme="1"/>
        <rFont val="Calibri"/>
        <family val="2"/>
        <scheme val="minor"/>
      </rPr>
      <t>C3H8</t>
    </r>
    <r>
      <rPr>
        <sz val="11"/>
        <color theme="1"/>
        <rFont val="Calibri"/>
        <family val="2"/>
        <scheme val="minor"/>
      </rPr>
      <t>/h</t>
    </r>
  </si>
  <si>
    <r>
      <t>mol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/h</t>
    </r>
  </si>
  <si>
    <t>mol total (loop)</t>
  </si>
  <si>
    <t>mol C3H8 (loop)</t>
  </si>
  <si>
    <t>mol CO2 (loop)</t>
  </si>
  <si>
    <t>fração C3H8 (entrada)</t>
  </si>
  <si>
    <t>fração CO2 (entrada)</t>
  </si>
  <si>
    <t>Injeção n°</t>
  </si>
  <si>
    <t>Áreas (u.a.)</t>
  </si>
  <si>
    <t>branco</t>
  </si>
  <si>
    <t>Tempo (min)</t>
  </si>
  <si>
    <t>Conversão de C3H8 (%)</t>
  </si>
  <si>
    <t>CO</t>
  </si>
  <si>
    <t>Balanço de C (%)</t>
  </si>
  <si>
    <t>Propeno</t>
  </si>
  <si>
    <t>Etano</t>
  </si>
  <si>
    <t>Eteno</t>
  </si>
  <si>
    <t>Propano (FID)</t>
  </si>
  <si>
    <t>Propeno (FID)</t>
  </si>
  <si>
    <t>Etano (FID)</t>
  </si>
  <si>
    <t>Eteno (FID)</t>
  </si>
  <si>
    <t>CH4 (FID)</t>
  </si>
  <si>
    <t>CO2 (TCD2)</t>
  </si>
  <si>
    <t xml:space="preserve">CO (TDC2) </t>
  </si>
  <si>
    <t>O2 (TCD2)</t>
  </si>
  <si>
    <t>H2 (TCD3)</t>
  </si>
  <si>
    <t>Rendimento (%)</t>
  </si>
  <si>
    <t>média de 5 h</t>
  </si>
  <si>
    <t>PRODUTIVIDADE (gproduto/Kgcat.h)</t>
  </si>
  <si>
    <t>Número de mols</t>
  </si>
  <si>
    <t>Soma de mols de C</t>
  </si>
  <si>
    <t>Conversão C3H8(%)</t>
  </si>
  <si>
    <t>tempo</t>
  </si>
  <si>
    <t>Injeções</t>
  </si>
  <si>
    <t>nº de mols</t>
  </si>
  <si>
    <t>Tempo (h)</t>
  </si>
  <si>
    <t>Produtividade (gC3H6/kgcat.h)</t>
  </si>
  <si>
    <t>MÉDIA</t>
  </si>
  <si>
    <t>Obs:</t>
  </si>
  <si>
    <t>Canal 1 - FID (tempo retenção em min)</t>
  </si>
  <si>
    <t>metano</t>
  </si>
  <si>
    <t>eteno</t>
  </si>
  <si>
    <t>etano</t>
  </si>
  <si>
    <t>Propano</t>
  </si>
  <si>
    <t>Canal 2 - TCD He</t>
  </si>
  <si>
    <t>H2O</t>
  </si>
  <si>
    <t>(pico negativo - sobrepõe-se à água)</t>
  </si>
  <si>
    <t xml:space="preserve">CH4 (FID) </t>
  </si>
  <si>
    <t>Feito usando o bypass a 35 ml/min e razão 2:1 (C3H8:O2)</t>
  </si>
  <si>
    <t>H2O (TCD2)</t>
  </si>
  <si>
    <t>Distribuição de produtos (%)</t>
  </si>
  <si>
    <t>SC3H6 (%)</t>
  </si>
  <si>
    <t>SC2H4 (%)</t>
  </si>
  <si>
    <t>Tempos de retenção (min)</t>
  </si>
  <si>
    <t>3ml/min</t>
  </si>
  <si>
    <t>27ml/min</t>
  </si>
  <si>
    <t>MoVOx_N2N2</t>
  </si>
  <si>
    <t>SCO2 (%)</t>
  </si>
  <si>
    <t>SCO (%)</t>
  </si>
  <si>
    <t>SCH4 (%)</t>
  </si>
  <si>
    <t>vazão N2</t>
  </si>
  <si>
    <t>SC2H6 (%)</t>
  </si>
  <si>
    <t>N2 (TCD)</t>
  </si>
  <si>
    <t>N2 (TCD2)</t>
  </si>
  <si>
    <t>Razao area propano/N2</t>
  </si>
  <si>
    <t>Razao propano/N2</t>
  </si>
  <si>
    <r>
      <t>mol</t>
    </r>
    <r>
      <rPr>
        <vertAlign val="subscript"/>
        <sz val="11"/>
        <color theme="1"/>
        <rFont val="Calibri"/>
        <family val="2"/>
        <scheme val="minor"/>
      </rPr>
      <t>N2</t>
    </r>
    <r>
      <rPr>
        <sz val="11"/>
        <color theme="1"/>
        <rFont val="Calibri"/>
        <family val="2"/>
        <scheme val="minor"/>
      </rPr>
      <t>/h</t>
    </r>
  </si>
  <si>
    <t>fração N2 (entrada)</t>
  </si>
  <si>
    <t>mol N2 (loop)</t>
  </si>
  <si>
    <t>Razao areas propano/N2</t>
  </si>
  <si>
    <t>MEDIA</t>
  </si>
  <si>
    <t>Conversão de C3H8 (%) usando N2 como padrao interno</t>
  </si>
  <si>
    <t>Rate (mmolproduto/gcat.min)</t>
  </si>
  <si>
    <t>MoV-N2</t>
  </si>
  <si>
    <t>V_MoO3</t>
  </si>
  <si>
    <t>10ml/min</t>
  </si>
  <si>
    <t>20ml/min</t>
  </si>
  <si>
    <t>MoO3</t>
  </si>
  <si>
    <t>Razao N2/propano</t>
  </si>
  <si>
    <t>Feito usando o bypass a 30 ml/min e razão 1:9 (C3H8:N2)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</si>
</sst>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00"/>
    <numFmt numFmtId="165" formatCode="0.000E+00"/>
    <numFmt numFmtId="166" formatCode="0.00000E+00"/>
    <numFmt numFmtId="167" formatCode="0.0000"/>
    <numFmt numFmtId="168" formatCode="0.0"/>
    <numFmt numFmtId="169" formatCode="0.000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7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9" xfId="0" applyFont="1" applyBorder="1"/>
    <xf numFmtId="0" fontId="2" fillId="0" borderId="11" xfId="0" applyFont="1" applyBorder="1" applyAlignment="1">
      <alignment horizontal="center"/>
    </xf>
    <xf numFmtId="0" fontId="2" fillId="0" borderId="1" xfId="0" applyFont="1" applyBorder="1"/>
    <xf numFmtId="0" fontId="2" fillId="0" borderId="3" xfId="0" applyFont="1" applyBorder="1"/>
    <xf numFmtId="0" fontId="2" fillId="0" borderId="5" xfId="0" applyFont="1" applyBorder="1"/>
    <xf numFmtId="0" fontId="0" fillId="0" borderId="2" xfId="0" applyBorder="1"/>
    <xf numFmtId="0" fontId="0" fillId="0" borderId="4" xfId="0" applyBorder="1"/>
    <xf numFmtId="0" fontId="0" fillId="0" borderId="6" xfId="0" applyBorder="1"/>
    <xf numFmtId="0" fontId="2" fillId="0" borderId="10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1" fontId="0" fillId="0" borderId="2" xfId="0" applyNumberForma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1" fillId="0" borderId="7" xfId="0" applyNumberFormat="1" applyFon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1" fontId="0" fillId="0" borderId="4" xfId="0" applyNumberFormat="1" applyBorder="1" applyAlignment="1">
      <alignment horizontal="center"/>
    </xf>
    <xf numFmtId="11" fontId="0" fillId="0" borderId="6" xfId="0" applyNumberFormat="1" applyBorder="1" applyAlignment="1">
      <alignment horizontal="center"/>
    </xf>
    <xf numFmtId="11" fontId="0" fillId="0" borderId="0" xfId="0" applyNumberFormat="1"/>
    <xf numFmtId="166" fontId="0" fillId="0" borderId="4" xfId="0" applyNumberFormat="1" applyBorder="1" applyAlignment="1">
      <alignment horizontal="center"/>
    </xf>
    <xf numFmtId="166" fontId="0" fillId="0" borderId="6" xfId="0" applyNumberForma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2" fontId="0" fillId="2" borderId="4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5" fontId="0" fillId="2" borderId="3" xfId="0" applyNumberFormat="1" applyFill="1" applyBorder="1" applyAlignment="1">
      <alignment horizontal="center" vertical="center"/>
    </xf>
    <xf numFmtId="165" fontId="0" fillId="2" borderId="4" xfId="0" applyNumberFormat="1" applyFill="1" applyBorder="1" applyAlignment="1">
      <alignment horizontal="center" vertical="center"/>
    </xf>
    <xf numFmtId="2" fontId="0" fillId="2" borderId="13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1" fillId="2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165" fontId="0" fillId="2" borderId="19" xfId="0" applyNumberFormat="1" applyFill="1" applyBorder="1" applyAlignment="1">
      <alignment horizontal="center" vertical="center"/>
    </xf>
    <xf numFmtId="165" fontId="0" fillId="2" borderId="20" xfId="0" applyNumberFormat="1" applyFill="1" applyBorder="1" applyAlignment="1">
      <alignment horizontal="center" vertical="center"/>
    </xf>
    <xf numFmtId="165" fontId="0" fillId="2" borderId="21" xfId="0" applyNumberFormat="1" applyFill="1" applyBorder="1" applyAlignment="1">
      <alignment horizontal="center" vertical="center"/>
    </xf>
    <xf numFmtId="2" fontId="0" fillId="2" borderId="21" xfId="0" applyNumberFormat="1" applyFill="1" applyBorder="1" applyAlignment="1">
      <alignment horizontal="center" vertical="center"/>
    </xf>
    <xf numFmtId="2" fontId="0" fillId="2" borderId="18" xfId="0" applyNumberFormat="1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1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165" fontId="0" fillId="2" borderId="23" xfId="0" applyNumberFormat="1" applyFill="1" applyBorder="1" applyAlignment="1">
      <alignment horizontal="center" vertical="center"/>
    </xf>
    <xf numFmtId="165" fontId="0" fillId="2" borderId="24" xfId="0" applyNumberFormat="1" applyFill="1" applyBorder="1" applyAlignment="1">
      <alignment horizontal="center" vertical="center"/>
    </xf>
    <xf numFmtId="165" fontId="0" fillId="2" borderId="25" xfId="0" applyNumberFormat="1" applyFill="1" applyBorder="1" applyAlignment="1">
      <alignment horizontal="center" vertical="center"/>
    </xf>
    <xf numFmtId="2" fontId="0" fillId="2" borderId="25" xfId="0" applyNumberFormat="1" applyFill="1" applyBorder="1" applyAlignment="1">
      <alignment horizontal="center" vertical="center"/>
    </xf>
    <xf numFmtId="2" fontId="0" fillId="2" borderId="22" xfId="0" applyNumberFormat="1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1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" fillId="2" borderId="31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5" fontId="0" fillId="3" borderId="3" xfId="0" applyNumberFormat="1" applyFill="1" applyBorder="1" applyAlignment="1">
      <alignment horizontal="center" vertical="center"/>
    </xf>
    <xf numFmtId="165" fontId="0" fillId="3" borderId="4" xfId="0" applyNumberFormat="1" applyFill="1" applyBorder="1" applyAlignment="1">
      <alignment horizontal="center" vertical="center"/>
    </xf>
    <xf numFmtId="2" fontId="0" fillId="3" borderId="4" xfId="0" applyNumberFormat="1" applyFill="1" applyBorder="1" applyAlignment="1">
      <alignment horizontal="center" vertical="center"/>
    </xf>
    <xf numFmtId="2" fontId="0" fillId="3" borderId="13" xfId="0" applyNumberFormat="1" applyFill="1" applyBorder="1" applyAlignment="1">
      <alignment horizontal="center"/>
    </xf>
    <xf numFmtId="2" fontId="0" fillId="3" borderId="3" xfId="0" applyNumberFormat="1" applyFill="1" applyBorder="1" applyAlignment="1">
      <alignment horizontal="center"/>
    </xf>
    <xf numFmtId="2" fontId="0" fillId="3" borderId="0" xfId="0" applyNumberFormat="1" applyFill="1" applyAlignment="1">
      <alignment horizontal="center"/>
    </xf>
    <xf numFmtId="167" fontId="1" fillId="0" borderId="16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2" fontId="4" fillId="0" borderId="14" xfId="0" applyNumberFormat="1" applyFon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0" fillId="0" borderId="8" xfId="0" applyBorder="1"/>
    <xf numFmtId="0" fontId="0" fillId="3" borderId="0" xfId="0" applyFill="1"/>
    <xf numFmtId="0" fontId="0" fillId="3" borderId="4" xfId="0" applyFill="1" applyBorder="1"/>
    <xf numFmtId="2" fontId="0" fillId="3" borderId="4" xfId="0" applyNumberFormat="1" applyFill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0" fillId="2" borderId="7" xfId="0" applyFill="1" applyBorder="1"/>
    <xf numFmtId="0" fontId="0" fillId="2" borderId="2" xfId="0" applyFill="1" applyBorder="1"/>
    <xf numFmtId="0" fontId="0" fillId="2" borderId="1" xfId="0" applyFill="1" applyBorder="1"/>
    <xf numFmtId="0" fontId="0" fillId="2" borderId="24" xfId="0" applyFill="1" applyBorder="1"/>
    <xf numFmtId="0" fontId="0" fillId="2" borderId="25" xfId="0" applyFill="1" applyBorder="1"/>
    <xf numFmtId="0" fontId="0" fillId="2" borderId="23" xfId="0" applyFill="1" applyBorder="1"/>
    <xf numFmtId="11" fontId="0" fillId="0" borderId="0" xfId="0" applyNumberFormat="1" applyAlignment="1">
      <alignment horizontal="center"/>
    </xf>
    <xf numFmtId="0" fontId="4" fillId="4" borderId="31" xfId="0" applyFont="1" applyFill="1" applyBorder="1" applyAlignment="1">
      <alignment horizont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4" fillId="4" borderId="35" xfId="0" applyFont="1" applyFill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34" xfId="0" applyFont="1" applyBorder="1"/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11" fontId="0" fillId="0" borderId="7" xfId="0" applyNumberFormat="1" applyBorder="1" applyAlignment="1">
      <alignment horizontal="center"/>
    </xf>
    <xf numFmtId="11" fontId="0" fillId="0" borderId="8" xfId="0" applyNumberFormat="1" applyBorder="1" applyAlignment="1">
      <alignment horizontal="center"/>
    </xf>
    <xf numFmtId="168" fontId="0" fillId="0" borderId="0" xfId="0" applyNumberFormat="1" applyAlignment="1">
      <alignment horizontal="center" vertical="center"/>
    </xf>
    <xf numFmtId="168" fontId="0" fillId="0" borderId="12" xfId="0" applyNumberFormat="1" applyBorder="1" applyAlignment="1">
      <alignment horizontal="center" vertical="center"/>
    </xf>
    <xf numFmtId="168" fontId="0" fillId="0" borderId="13" xfId="0" applyNumberFormat="1" applyBorder="1" applyAlignment="1">
      <alignment horizontal="center" vertical="center"/>
    </xf>
    <xf numFmtId="168" fontId="0" fillId="0" borderId="14" xfId="0" applyNumberFormat="1" applyBorder="1" applyAlignment="1">
      <alignment horizontal="center" vertical="center"/>
    </xf>
    <xf numFmtId="168" fontId="0" fillId="0" borderId="2" xfId="0" applyNumberFormat="1" applyBorder="1" applyAlignment="1">
      <alignment horizontal="center" vertical="center"/>
    </xf>
    <xf numFmtId="168" fontId="0" fillId="0" borderId="4" xfId="0" applyNumberFormat="1" applyBorder="1" applyAlignment="1">
      <alignment horizontal="center" vertical="center"/>
    </xf>
    <xf numFmtId="168" fontId="0" fillId="0" borderId="6" xfId="0" applyNumberFormat="1" applyBorder="1" applyAlignment="1">
      <alignment horizontal="center" vertical="center"/>
    </xf>
    <xf numFmtId="0" fontId="0" fillId="0" borderId="10" xfId="0" applyBorder="1"/>
    <xf numFmtId="1" fontId="4" fillId="0" borderId="10" xfId="0" applyNumberFormat="1" applyFont="1" applyBorder="1" applyAlignment="1">
      <alignment horizontal="center"/>
    </xf>
    <xf numFmtId="0" fontId="0" fillId="0" borderId="11" xfId="0" applyBorder="1"/>
    <xf numFmtId="0" fontId="2" fillId="0" borderId="34" xfId="0" applyFont="1" applyBorder="1" applyAlignment="1">
      <alignment horizontal="center"/>
    </xf>
    <xf numFmtId="11" fontId="4" fillId="0" borderId="10" xfId="0" applyNumberFormat="1" applyFont="1" applyBorder="1" applyAlignment="1">
      <alignment horizontal="center"/>
    </xf>
    <xf numFmtId="0" fontId="0" fillId="0" borderId="7" xfId="0" applyBorder="1"/>
    <xf numFmtId="0" fontId="4" fillId="0" borderId="10" xfId="0" applyFont="1" applyBorder="1"/>
    <xf numFmtId="166" fontId="0" fillId="0" borderId="7" xfId="0" applyNumberFormat="1" applyBorder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8" xfId="0" applyNumberFormat="1" applyBorder="1"/>
    <xf numFmtId="0" fontId="0" fillId="2" borderId="21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168" fontId="0" fillId="0" borderId="0" xfId="0" applyNumberFormat="1" applyAlignment="1">
      <alignment horizontal="center"/>
    </xf>
    <xf numFmtId="168" fontId="1" fillId="0" borderId="0" xfId="0" applyNumberFormat="1" applyFont="1" applyAlignment="1">
      <alignment horizontal="center"/>
    </xf>
    <xf numFmtId="0" fontId="0" fillId="2" borderId="0" xfId="0" applyFill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168" fontId="0" fillId="0" borderId="8" xfId="0" applyNumberFormat="1" applyBorder="1" applyAlignment="1">
      <alignment horizontal="center"/>
    </xf>
    <xf numFmtId="2" fontId="0" fillId="0" borderId="6" xfId="0" applyNumberFormat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1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2" fontId="4" fillId="0" borderId="10" xfId="0" applyNumberFormat="1" applyFont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  <xf numFmtId="168" fontId="0" fillId="0" borderId="3" xfId="0" applyNumberFormat="1" applyBorder="1" applyAlignment="1">
      <alignment horizontal="center" vertical="center"/>
    </xf>
    <xf numFmtId="168" fontId="0" fillId="0" borderId="5" xfId="0" applyNumberFormat="1" applyBorder="1" applyAlignment="1">
      <alignment horizontal="center" vertical="center"/>
    </xf>
    <xf numFmtId="0" fontId="0" fillId="2" borderId="12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2" fillId="0" borderId="34" xfId="0" applyFont="1" applyBorder="1" applyAlignment="1">
      <alignment horizontal="center" vertical="center"/>
    </xf>
    <xf numFmtId="165" fontId="0" fillId="0" borderId="0" xfId="0" applyNumberFormat="1"/>
    <xf numFmtId="0" fontId="0" fillId="0" borderId="31" xfId="0" applyBorder="1" applyAlignment="1">
      <alignment horizontal="center"/>
    </xf>
    <xf numFmtId="11" fontId="0" fillId="3" borderId="0" xfId="0" applyNumberFormat="1" applyFill="1" applyAlignment="1">
      <alignment horizontal="center"/>
    </xf>
    <xf numFmtId="2" fontId="0" fillId="3" borderId="0" xfId="0" applyNumberFormat="1" applyFill="1"/>
    <xf numFmtId="0" fontId="2" fillId="0" borderId="2" xfId="0" applyFont="1" applyBorder="1" applyAlignment="1">
      <alignment horizontal="center"/>
    </xf>
    <xf numFmtId="0" fontId="2" fillId="0" borderId="0" xfId="0" applyFont="1"/>
    <xf numFmtId="169" fontId="0" fillId="0" borderId="0" xfId="0" applyNumberFormat="1"/>
    <xf numFmtId="167" fontId="0" fillId="0" borderId="0" xfId="0" applyNumberFormat="1"/>
    <xf numFmtId="0" fontId="2" fillId="0" borderId="0" xfId="0" applyFont="1" applyAlignment="1">
      <alignment horizontal="center"/>
    </xf>
    <xf numFmtId="169" fontId="0" fillId="9" borderId="0" xfId="0" applyNumberFormat="1" applyFill="1" applyAlignment="1">
      <alignment horizontal="center"/>
    </xf>
    <xf numFmtId="169" fontId="0" fillId="0" borderId="0" xfId="0" applyNumberFormat="1" applyAlignment="1">
      <alignment horizontal="center"/>
    </xf>
    <xf numFmtId="167" fontId="0" fillId="0" borderId="3" xfId="0" applyNumberForma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4" xfId="0" applyFill="1" applyBorder="1" applyAlignment="1">
      <alignment horizontal="center"/>
    </xf>
    <xf numFmtId="167" fontId="0" fillId="3" borderId="3" xfId="0" applyNumberFormat="1" applyFill="1" applyBorder="1" applyAlignment="1">
      <alignment horizontal="center"/>
    </xf>
    <xf numFmtId="167" fontId="0" fillId="0" borderId="5" xfId="0" applyNumberFormat="1" applyBorder="1" applyAlignment="1">
      <alignment horizontal="center"/>
    </xf>
    <xf numFmtId="11" fontId="0" fillId="0" borderId="3" xfId="0" applyNumberFormat="1" applyBorder="1" applyAlignment="1">
      <alignment horizontal="center"/>
    </xf>
    <xf numFmtId="2" fontId="0" fillId="0" borderId="4" xfId="0" applyNumberFormat="1" applyBorder="1"/>
    <xf numFmtId="11" fontId="0" fillId="0" borderId="5" xfId="0" applyNumberFormat="1" applyBorder="1" applyAlignment="1">
      <alignment horizontal="center"/>
    </xf>
    <xf numFmtId="2" fontId="0" fillId="0" borderId="6" xfId="0" applyNumberFormat="1" applyBorder="1"/>
    <xf numFmtId="0" fontId="0" fillId="0" borderId="12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169" fontId="0" fillId="9" borderId="0" xfId="0" applyNumberFormat="1" applyFill="1"/>
    <xf numFmtId="0" fontId="0" fillId="0" borderId="4" xfId="0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2" fontId="0" fillId="9" borderId="4" xfId="0" applyNumberFormat="1" applyFill="1" applyBorder="1" applyAlignment="1">
      <alignment horizontal="center"/>
    </xf>
    <xf numFmtId="2" fontId="0" fillId="9" borderId="3" xfId="0" applyNumberFormat="1" applyFill="1" applyBorder="1" applyAlignment="1">
      <alignment horizontal="center"/>
    </xf>
    <xf numFmtId="2" fontId="0" fillId="9" borderId="13" xfId="0" applyNumberFormat="1" applyFill="1" applyBorder="1" applyAlignment="1">
      <alignment horizontal="center"/>
    </xf>
    <xf numFmtId="167" fontId="0" fillId="9" borderId="3" xfId="0" applyNumberForma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3E210-E0AA-4A9F-A9C6-854F95883FA0}">
  <dimension ref="B1:G17"/>
  <sheetViews>
    <sheetView workbookViewId="0">
      <selection activeCell="H25" sqref="H25"/>
    </sheetView>
  </sheetViews>
  <sheetFormatPr defaultRowHeight="15" x14ac:dyDescent="0.25"/>
  <sheetData>
    <row r="1" spans="2:7" ht="15.75" thickBot="1" x14ac:dyDescent="0.3"/>
    <row r="2" spans="2:7" x14ac:dyDescent="0.25">
      <c r="B2" s="210" t="s">
        <v>62</v>
      </c>
      <c r="C2" s="211"/>
      <c r="D2" s="211"/>
      <c r="E2" s="212"/>
    </row>
    <row r="3" spans="2:7" x14ac:dyDescent="0.25">
      <c r="B3" s="11" t="s">
        <v>63</v>
      </c>
      <c r="C3">
        <v>2.7</v>
      </c>
      <c r="E3" s="14"/>
    </row>
    <row r="4" spans="2:7" x14ac:dyDescent="0.25">
      <c r="B4" s="11" t="s">
        <v>64</v>
      </c>
      <c r="C4">
        <v>2.9</v>
      </c>
      <c r="E4" s="14"/>
    </row>
    <row r="5" spans="2:7" x14ac:dyDescent="0.25">
      <c r="B5" s="11" t="s">
        <v>65</v>
      </c>
      <c r="C5">
        <v>3.1</v>
      </c>
      <c r="E5" s="14"/>
    </row>
    <row r="6" spans="2:7" x14ac:dyDescent="0.25">
      <c r="B6" s="11" t="s">
        <v>37</v>
      </c>
      <c r="C6">
        <v>4.5</v>
      </c>
      <c r="E6" s="14"/>
    </row>
    <row r="7" spans="2:7" ht="15.75" thickBot="1" x14ac:dyDescent="0.3">
      <c r="B7" s="12" t="s">
        <v>66</v>
      </c>
      <c r="C7" s="98">
        <v>4.7</v>
      </c>
      <c r="D7" s="98"/>
      <c r="E7" s="15"/>
    </row>
    <row r="8" spans="2:7" ht="15.75" thickBot="1" x14ac:dyDescent="0.3"/>
    <row r="9" spans="2:7" x14ac:dyDescent="0.25">
      <c r="B9" s="210" t="s">
        <v>67</v>
      </c>
      <c r="C9" s="211"/>
      <c r="D9" s="140"/>
      <c r="E9" s="140"/>
      <c r="F9" s="140"/>
      <c r="G9" s="13"/>
    </row>
    <row r="10" spans="2:7" x14ac:dyDescent="0.25">
      <c r="B10" s="11" t="s">
        <v>35</v>
      </c>
      <c r="C10">
        <v>2.2000000000000002</v>
      </c>
      <c r="G10" s="14"/>
    </row>
    <row r="11" spans="2:7" x14ac:dyDescent="0.25">
      <c r="B11" s="11" t="s">
        <v>8</v>
      </c>
      <c r="C11">
        <v>2.5</v>
      </c>
      <c r="G11" s="14"/>
    </row>
    <row r="12" spans="2:7" x14ac:dyDescent="0.25">
      <c r="B12" s="11" t="s">
        <v>68</v>
      </c>
      <c r="C12">
        <v>4.5</v>
      </c>
      <c r="G12" s="14"/>
    </row>
    <row r="13" spans="2:7" x14ac:dyDescent="0.25">
      <c r="B13" s="11" t="s">
        <v>11</v>
      </c>
      <c r="C13">
        <v>4.9000000000000004</v>
      </c>
      <c r="D13" t="s">
        <v>69</v>
      </c>
      <c r="G13" s="14"/>
    </row>
    <row r="14" spans="2:7" x14ac:dyDescent="0.25">
      <c r="B14" s="11" t="s">
        <v>12</v>
      </c>
      <c r="C14">
        <v>6.6</v>
      </c>
      <c r="G14" s="14"/>
    </row>
    <row r="15" spans="2:7" x14ac:dyDescent="0.25">
      <c r="B15" s="11" t="s">
        <v>13</v>
      </c>
      <c r="C15">
        <v>7.2</v>
      </c>
      <c r="G15" s="14"/>
    </row>
    <row r="16" spans="2:7" x14ac:dyDescent="0.25">
      <c r="B16" s="11" t="s">
        <v>37</v>
      </c>
      <c r="C16">
        <v>8.1999999999999993</v>
      </c>
      <c r="G16" s="14"/>
    </row>
    <row r="17" spans="2:7" ht="15.75" thickBot="1" x14ac:dyDescent="0.3">
      <c r="B17" s="12" t="s">
        <v>66</v>
      </c>
      <c r="C17" s="98">
        <v>8.5</v>
      </c>
      <c r="D17" s="98"/>
      <c r="E17" s="98"/>
      <c r="F17" s="98"/>
      <c r="G17" s="15"/>
    </row>
  </sheetData>
  <mergeCells count="2">
    <mergeCell ref="B9:C9"/>
    <mergeCell ref="B2:E2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E9752-6197-441A-9E27-FEB76C9C94C2}">
  <dimension ref="B1:BK43"/>
  <sheetViews>
    <sheetView tabSelected="1" topLeftCell="P1" zoomScale="80" zoomScaleNormal="80" workbookViewId="0">
      <selection activeCell="K12" sqref="K12"/>
    </sheetView>
  </sheetViews>
  <sheetFormatPr defaultRowHeight="15" x14ac:dyDescent="0.25"/>
  <cols>
    <col min="2" max="2" width="18.5703125" bestFit="1" customWidth="1"/>
    <col min="3" max="3" width="22.42578125" bestFit="1" customWidth="1"/>
    <col min="4" max="4" width="13.5703125" customWidth="1"/>
    <col min="5" max="5" width="14.7109375" bestFit="1" customWidth="1"/>
    <col min="6" max="6" width="14.7109375" customWidth="1"/>
    <col min="7" max="7" width="19.5703125" bestFit="1" customWidth="1"/>
    <col min="8" max="8" width="10.42578125" style="3" customWidth="1"/>
    <col min="9" max="9" width="13.28515625" style="3" customWidth="1"/>
    <col min="10" max="10" width="13.28515625" style="2" bestFit="1" customWidth="1"/>
    <col min="11" max="11" width="13.42578125" style="2" bestFit="1" customWidth="1"/>
    <col min="12" max="12" width="10.7109375" style="2" bestFit="1" customWidth="1"/>
    <col min="13" max="13" width="10.85546875" style="2" bestFit="1" customWidth="1"/>
    <col min="14" max="15" width="12.5703125" style="2" customWidth="1"/>
    <col min="16" max="16" width="21.7109375" style="2" bestFit="1" customWidth="1"/>
    <col min="17" max="17" width="11" style="2" customWidth="1"/>
    <col min="18" max="18" width="10.28515625" style="2" bestFit="1" customWidth="1"/>
    <col min="19" max="19" width="12.28515625" style="2" customWidth="1"/>
    <col min="20" max="20" width="15.7109375" style="2" customWidth="1"/>
    <col min="21" max="21" width="14.85546875" customWidth="1"/>
    <col min="22" max="22" width="11.5703125" bestFit="1" customWidth="1"/>
    <col min="23" max="23" width="15.7109375" bestFit="1" customWidth="1"/>
    <col min="24" max="24" width="29.5703125" bestFit="1" customWidth="1"/>
    <col min="25" max="25" width="11.5703125" bestFit="1" customWidth="1"/>
    <col min="26" max="27" width="11.85546875" customWidth="1"/>
    <col min="28" max="30" width="11.5703125" bestFit="1" customWidth="1"/>
    <col min="31" max="31" width="15.5703125" customWidth="1"/>
    <col min="32" max="32" width="13.7109375" customWidth="1"/>
    <col min="33" max="33" width="9.5703125" style="3" bestFit="1" customWidth="1"/>
    <col min="34" max="34" width="9.28515625" style="3" bestFit="1" customWidth="1"/>
    <col min="35" max="37" width="9.5703125" style="3" bestFit="1" customWidth="1"/>
    <col min="38" max="39" width="9.5703125" style="3" customWidth="1"/>
    <col min="40" max="40" width="9.140625" style="3"/>
    <col min="41" max="43" width="10.5703125" style="3" bestFit="1" customWidth="1"/>
    <col min="44" max="44" width="10.7109375" style="3" bestFit="1" customWidth="1"/>
    <col min="45" max="47" width="10.7109375" style="3" customWidth="1"/>
    <col min="48" max="48" width="9.5703125" style="3" bestFit="1" customWidth="1"/>
    <col min="49" max="49" width="15.5703125" bestFit="1" customWidth="1"/>
    <col min="62" max="62" width="20.42578125" customWidth="1"/>
    <col min="63" max="63" width="18.42578125" bestFit="1" customWidth="1"/>
  </cols>
  <sheetData>
    <row r="1" spans="2:63" ht="15.75" thickBot="1" x14ac:dyDescent="0.3"/>
    <row r="2" spans="2:63" ht="15.75" thickBot="1" x14ac:dyDescent="0.3">
      <c r="H2" s="217" t="s">
        <v>76</v>
      </c>
      <c r="I2" s="218"/>
      <c r="J2" s="157">
        <v>4.7</v>
      </c>
      <c r="K2" s="156">
        <v>4.5</v>
      </c>
      <c r="L2" s="156">
        <v>3.1</v>
      </c>
      <c r="M2" s="156">
        <v>2.9</v>
      </c>
      <c r="N2" s="158">
        <v>2.7</v>
      </c>
      <c r="O2" s="156"/>
      <c r="P2" s="159">
        <v>2.7</v>
      </c>
      <c r="Q2" s="159">
        <v>4.5</v>
      </c>
      <c r="R2" s="159">
        <v>2.2000000000000002</v>
      </c>
      <c r="S2" s="161">
        <v>1.6</v>
      </c>
      <c r="T2" s="160">
        <v>1.3</v>
      </c>
    </row>
    <row r="3" spans="2:63" ht="15.75" thickBot="1" x14ac:dyDescent="0.3">
      <c r="B3" s="10" t="s">
        <v>0</v>
      </c>
      <c r="C3" s="47">
        <v>45856</v>
      </c>
      <c r="H3" s="224" t="s">
        <v>30</v>
      </c>
      <c r="I3" s="224" t="s">
        <v>33</v>
      </c>
      <c r="J3" s="232" t="s">
        <v>31</v>
      </c>
      <c r="K3" s="232"/>
      <c r="L3" s="232"/>
      <c r="M3" s="232"/>
      <c r="N3" s="232"/>
      <c r="O3" s="232"/>
      <c r="P3" s="232"/>
      <c r="Q3" s="232"/>
      <c r="R3" s="232"/>
      <c r="S3" s="232"/>
      <c r="T3" s="233"/>
      <c r="U3" s="211" t="s">
        <v>52</v>
      </c>
      <c r="V3" s="211"/>
      <c r="W3" s="211"/>
      <c r="X3" s="211"/>
      <c r="Y3" s="211"/>
      <c r="Z3" s="211"/>
      <c r="AA3" s="211"/>
      <c r="AB3" s="211"/>
      <c r="AC3" s="211"/>
      <c r="AD3" s="212"/>
      <c r="AE3" s="227" t="s">
        <v>34</v>
      </c>
      <c r="AF3" s="227"/>
      <c r="AG3" s="217" t="s">
        <v>73</v>
      </c>
      <c r="AH3" s="226"/>
      <c r="AI3" s="226"/>
      <c r="AJ3" s="226"/>
      <c r="AK3" s="226"/>
      <c r="AL3" s="226"/>
      <c r="AM3" s="226"/>
      <c r="AN3" s="226"/>
      <c r="AO3" s="224" t="s">
        <v>74</v>
      </c>
      <c r="AP3" s="224" t="s">
        <v>84</v>
      </c>
      <c r="AQ3" s="224" t="s">
        <v>75</v>
      </c>
      <c r="AR3" s="239" t="s">
        <v>80</v>
      </c>
      <c r="AS3" s="224" t="s">
        <v>81</v>
      </c>
      <c r="AT3" s="241" t="s">
        <v>82</v>
      </c>
      <c r="AU3" s="200"/>
      <c r="AV3" s="227" t="s">
        <v>36</v>
      </c>
      <c r="AW3" s="224" t="s">
        <v>49</v>
      </c>
      <c r="AX3" s="217" t="s">
        <v>95</v>
      </c>
      <c r="AY3" s="226"/>
      <c r="AZ3" s="226"/>
      <c r="BA3" s="226"/>
      <c r="BB3" s="226"/>
      <c r="BC3" s="218"/>
      <c r="BD3" s="217" t="s">
        <v>51</v>
      </c>
      <c r="BE3" s="226"/>
      <c r="BF3" s="226"/>
      <c r="BG3" s="226"/>
      <c r="BH3" s="226"/>
      <c r="BI3" s="218"/>
      <c r="BJ3" s="224" t="s">
        <v>53</v>
      </c>
      <c r="BK3" s="224" t="s">
        <v>54</v>
      </c>
    </row>
    <row r="4" spans="2:63" ht="15.75" thickBot="1" x14ac:dyDescent="0.3">
      <c r="B4" s="11" t="s">
        <v>1</v>
      </c>
      <c r="C4" s="48" t="s">
        <v>100</v>
      </c>
      <c r="E4" s="1"/>
      <c r="F4" s="1"/>
      <c r="H4" s="225"/>
      <c r="I4" s="225"/>
      <c r="J4" s="19" t="s">
        <v>40</v>
      </c>
      <c r="K4" s="20" t="s">
        <v>41</v>
      </c>
      <c r="L4" s="20" t="s">
        <v>42</v>
      </c>
      <c r="M4" s="20" t="s">
        <v>43</v>
      </c>
      <c r="N4" s="20" t="s">
        <v>70</v>
      </c>
      <c r="O4" s="20" t="s">
        <v>86</v>
      </c>
      <c r="P4" s="20" t="s">
        <v>45</v>
      </c>
      <c r="Q4" s="20" t="s">
        <v>72</v>
      </c>
      <c r="R4" s="20" t="s">
        <v>46</v>
      </c>
      <c r="S4" s="20" t="s">
        <v>47</v>
      </c>
      <c r="T4" s="31" t="s">
        <v>48</v>
      </c>
      <c r="U4" s="19" t="s">
        <v>18</v>
      </c>
      <c r="V4" s="20" t="s">
        <v>19</v>
      </c>
      <c r="W4" s="20" t="s">
        <v>6</v>
      </c>
      <c r="X4" s="20" t="s">
        <v>7</v>
      </c>
      <c r="Y4" s="20" t="s">
        <v>10</v>
      </c>
      <c r="Z4" s="20" t="s">
        <v>8</v>
      </c>
      <c r="AA4" s="20" t="s">
        <v>68</v>
      </c>
      <c r="AB4" s="20" t="s">
        <v>9</v>
      </c>
      <c r="AC4" s="20" t="s">
        <v>12</v>
      </c>
      <c r="AD4" s="31" t="s">
        <v>11</v>
      </c>
      <c r="AE4" s="234"/>
      <c r="AF4" s="228"/>
      <c r="AG4" s="19" t="s">
        <v>37</v>
      </c>
      <c r="AH4" s="20" t="s">
        <v>38</v>
      </c>
      <c r="AI4" s="20" t="s">
        <v>39</v>
      </c>
      <c r="AJ4" s="20" t="s">
        <v>10</v>
      </c>
      <c r="AK4" s="20" t="s">
        <v>8</v>
      </c>
      <c r="AL4" s="20" t="s">
        <v>68</v>
      </c>
      <c r="AM4" s="20" t="s">
        <v>35</v>
      </c>
      <c r="AN4" s="20" t="s">
        <v>11</v>
      </c>
      <c r="AO4" s="225"/>
      <c r="AP4" s="225"/>
      <c r="AQ4" s="225"/>
      <c r="AR4" s="240"/>
      <c r="AS4" s="225"/>
      <c r="AT4" s="242"/>
      <c r="AU4" s="168"/>
      <c r="AV4" s="228"/>
      <c r="AW4" s="225"/>
      <c r="AX4" s="19" t="s">
        <v>37</v>
      </c>
      <c r="AY4" s="20" t="s">
        <v>38</v>
      </c>
      <c r="AZ4" s="20" t="s">
        <v>39</v>
      </c>
      <c r="BA4" s="20" t="s">
        <v>10</v>
      </c>
      <c r="BB4" s="20" t="s">
        <v>35</v>
      </c>
      <c r="BC4" s="31" t="s">
        <v>11</v>
      </c>
      <c r="BD4" s="19" t="s">
        <v>37</v>
      </c>
      <c r="BE4" s="20" t="s">
        <v>38</v>
      </c>
      <c r="BF4" s="20" t="s">
        <v>39</v>
      </c>
      <c r="BG4" s="20" t="s">
        <v>10</v>
      </c>
      <c r="BH4" s="20" t="s">
        <v>35</v>
      </c>
      <c r="BI4" s="31" t="s">
        <v>11</v>
      </c>
      <c r="BJ4" s="225"/>
      <c r="BK4" s="225"/>
    </row>
    <row r="5" spans="2:63" x14ac:dyDescent="0.25">
      <c r="B5" s="11" t="s">
        <v>2</v>
      </c>
      <c r="C5" s="94">
        <v>0.20219999999999999</v>
      </c>
      <c r="H5" s="58" t="s">
        <v>32</v>
      </c>
      <c r="I5" s="58"/>
      <c r="J5" s="57"/>
      <c r="K5" s="78"/>
      <c r="L5" s="81"/>
      <c r="M5" s="59"/>
      <c r="N5" s="81"/>
      <c r="O5" s="81"/>
      <c r="P5" s="81"/>
      <c r="Q5" s="59"/>
      <c r="R5" s="81"/>
      <c r="S5" s="81"/>
      <c r="T5" s="60"/>
      <c r="U5" s="61">
        <f>J5*$D$9</f>
        <v>0</v>
      </c>
      <c r="V5" s="62">
        <f>K5*$D$10</f>
        <v>0</v>
      </c>
      <c r="W5" s="62">
        <f>L5*$D$11</f>
        <v>0</v>
      </c>
      <c r="X5" s="62">
        <f>M5*$D$12</f>
        <v>0</v>
      </c>
      <c r="Y5" s="62">
        <f>N5*$D$13</f>
        <v>0</v>
      </c>
      <c r="Z5" s="62">
        <f t="shared" ref="Z5:Z7" si="0">P5*$D$14</f>
        <v>0</v>
      </c>
      <c r="AA5" s="62"/>
      <c r="AB5" s="62">
        <f t="shared" ref="AB5:AB7" si="1">R5*$D$15</f>
        <v>0</v>
      </c>
      <c r="AC5" s="62">
        <f t="shared" ref="AC5:AC32" si="2">S5*$D$16</f>
        <v>0</v>
      </c>
      <c r="AD5" s="63">
        <f t="shared" ref="AD5:AD32" si="3">T5*$D$19</f>
        <v>0</v>
      </c>
      <c r="AE5" s="64"/>
      <c r="AF5" s="65"/>
      <c r="AG5" s="66"/>
      <c r="AH5" s="67"/>
      <c r="AI5" s="67"/>
      <c r="AJ5" s="67"/>
      <c r="AK5" s="67"/>
      <c r="AL5" s="67"/>
      <c r="AM5" s="67"/>
      <c r="AN5" s="145"/>
      <c r="AO5" s="145"/>
      <c r="AP5" s="145"/>
      <c r="AQ5" s="67"/>
      <c r="AR5" s="118"/>
      <c r="AS5" s="197"/>
      <c r="AT5" s="197"/>
      <c r="AU5" s="120"/>
      <c r="AV5" s="145"/>
      <c r="AW5" s="104"/>
      <c r="AX5" s="50"/>
      <c r="AY5" s="103"/>
      <c r="AZ5" s="103"/>
      <c r="BA5" s="103"/>
      <c r="BB5" s="103"/>
      <c r="BC5" s="104"/>
      <c r="BD5" s="105"/>
      <c r="BE5" s="103"/>
      <c r="BF5" s="103"/>
      <c r="BG5" s="103"/>
      <c r="BH5" s="103"/>
      <c r="BI5" s="104"/>
      <c r="BJ5" s="118"/>
      <c r="BK5" s="13"/>
    </row>
    <row r="6" spans="2:63" ht="15.75" thickBot="1" x14ac:dyDescent="0.3">
      <c r="B6" s="12" t="s">
        <v>3</v>
      </c>
      <c r="C6" s="46">
        <v>1</v>
      </c>
      <c r="H6" s="51" t="s">
        <v>32</v>
      </c>
      <c r="I6" s="57"/>
      <c r="J6" s="166"/>
      <c r="K6" s="79"/>
      <c r="L6" s="82"/>
      <c r="M6" s="52"/>
      <c r="N6" s="82"/>
      <c r="O6" s="82"/>
      <c r="P6" s="82"/>
      <c r="Q6" s="52"/>
      <c r="R6" s="82"/>
      <c r="S6" s="82"/>
      <c r="T6" s="53"/>
      <c r="U6" s="54">
        <f>J6*$D$9</f>
        <v>0</v>
      </c>
      <c r="V6" s="162">
        <f t="shared" ref="V6:V32" si="4">K6*$D$10</f>
        <v>0</v>
      </c>
      <c r="W6" s="162">
        <f t="shared" ref="W6:W7" si="5">L6*$D$11</f>
        <v>0</v>
      </c>
      <c r="X6" s="162">
        <f t="shared" ref="X6:X32" si="6">M6*$D$12</f>
        <v>0</v>
      </c>
      <c r="Y6" s="162">
        <f t="shared" ref="Y6:Y32" si="7">N6*$D$13</f>
        <v>0</v>
      </c>
      <c r="Z6" s="162">
        <f t="shared" si="0"/>
        <v>0</v>
      </c>
      <c r="AA6" s="162"/>
      <c r="AB6" s="162">
        <f t="shared" si="1"/>
        <v>0</v>
      </c>
      <c r="AC6" s="162">
        <f t="shared" si="2"/>
        <v>0</v>
      </c>
      <c r="AD6" s="55">
        <f t="shared" si="3"/>
        <v>0</v>
      </c>
      <c r="AE6" s="49"/>
      <c r="AF6" s="56"/>
      <c r="AG6" s="57"/>
      <c r="AH6" s="150"/>
      <c r="AI6" s="150"/>
      <c r="AJ6" s="150"/>
      <c r="AK6" s="150"/>
      <c r="AL6" s="150"/>
      <c r="AM6" s="150"/>
      <c r="AN6" s="146"/>
      <c r="AO6" s="146"/>
      <c r="AP6" s="146"/>
      <c r="AQ6" s="150"/>
      <c r="AR6" s="199"/>
      <c r="AS6" s="198"/>
      <c r="AT6" s="198"/>
      <c r="AU6" s="121"/>
      <c r="AV6" s="146"/>
      <c r="AW6" s="107"/>
      <c r="AX6" s="76"/>
      <c r="AY6" s="106"/>
      <c r="AZ6" s="106"/>
      <c r="BA6" s="106"/>
      <c r="BB6" s="106"/>
      <c r="BC6" s="107"/>
      <c r="BD6" s="108"/>
      <c r="BE6" s="106"/>
      <c r="BF6" s="106"/>
      <c r="BG6" s="106"/>
      <c r="BH6" s="106"/>
      <c r="BI6" s="107"/>
      <c r="BJ6" s="5"/>
      <c r="BK6" s="14"/>
    </row>
    <row r="7" spans="2:63" ht="15.75" thickBot="1" x14ac:dyDescent="0.3">
      <c r="G7" s="180" t="s">
        <v>101</v>
      </c>
      <c r="H7" s="68" t="s">
        <v>32</v>
      </c>
      <c r="I7" s="76"/>
      <c r="J7" s="166"/>
      <c r="K7" s="80"/>
      <c r="L7" s="83"/>
      <c r="M7" s="69"/>
      <c r="N7" s="83"/>
      <c r="O7" s="83"/>
      <c r="P7" s="83"/>
      <c r="Q7" s="69"/>
      <c r="R7" s="83"/>
      <c r="S7" s="83"/>
      <c r="T7" s="70"/>
      <c r="U7" s="71">
        <f t="shared" ref="U7:U32" si="8">J7*$D$9</f>
        <v>0</v>
      </c>
      <c r="V7" s="72">
        <f t="shared" si="4"/>
        <v>0</v>
      </c>
      <c r="W7" s="72">
        <f t="shared" si="5"/>
        <v>0</v>
      </c>
      <c r="X7" s="72">
        <f t="shared" si="6"/>
        <v>0</v>
      </c>
      <c r="Y7" s="72">
        <f t="shared" si="7"/>
        <v>0</v>
      </c>
      <c r="Z7" s="72">
        <f t="shared" si="0"/>
        <v>0</v>
      </c>
      <c r="AA7" s="72"/>
      <c r="AB7" s="72">
        <f t="shared" si="1"/>
        <v>0</v>
      </c>
      <c r="AC7" s="72">
        <f t="shared" si="2"/>
        <v>0</v>
      </c>
      <c r="AD7" s="73">
        <f t="shared" si="3"/>
        <v>0</v>
      </c>
      <c r="AE7" s="74"/>
      <c r="AF7" s="75"/>
      <c r="AG7" s="76"/>
      <c r="AH7" s="77"/>
      <c r="AI7" s="77"/>
      <c r="AJ7" s="77"/>
      <c r="AK7" s="77"/>
      <c r="AL7" s="77"/>
      <c r="AM7" s="77"/>
      <c r="AN7" s="147"/>
      <c r="AO7" s="147"/>
      <c r="AP7" s="147"/>
      <c r="AQ7" s="77"/>
      <c r="AR7" s="199"/>
      <c r="AS7" s="198"/>
      <c r="AT7" s="198"/>
      <c r="AU7" s="202"/>
      <c r="AV7" s="147"/>
      <c r="AW7" s="107"/>
      <c r="AX7" s="76"/>
      <c r="AY7" s="106"/>
      <c r="AZ7" s="106"/>
      <c r="BA7" s="106"/>
      <c r="BB7" s="106"/>
      <c r="BC7" s="107"/>
      <c r="BD7" s="108"/>
      <c r="BE7" s="106"/>
      <c r="BF7" s="106"/>
      <c r="BG7" s="106"/>
      <c r="BH7" s="106"/>
      <c r="BI7" s="107"/>
      <c r="BJ7" s="5"/>
      <c r="BK7" s="14"/>
    </row>
    <row r="8" spans="2:63" ht="15.75" thickBot="1" x14ac:dyDescent="0.3">
      <c r="B8" s="8" t="s">
        <v>4</v>
      </c>
      <c r="C8" s="16" t="s">
        <v>14</v>
      </c>
      <c r="D8" s="9" t="s">
        <v>5</v>
      </c>
      <c r="G8" s="203">
        <f>O8/J8</f>
        <v>6.7341339582112871</v>
      </c>
      <c r="H8" s="17">
        <v>1</v>
      </c>
      <c r="I8" s="17">
        <v>1</v>
      </c>
      <c r="J8" s="40">
        <v>10242</v>
      </c>
      <c r="K8" s="41">
        <v>6</v>
      </c>
      <c r="L8" s="41">
        <v>1</v>
      </c>
      <c r="M8" s="41">
        <v>1</v>
      </c>
      <c r="N8" s="41">
        <v>1</v>
      </c>
      <c r="O8" s="41">
        <v>68971</v>
      </c>
      <c r="P8" s="41">
        <v>8</v>
      </c>
      <c r="Q8" s="41">
        <v>0</v>
      </c>
      <c r="R8" s="41">
        <v>8</v>
      </c>
      <c r="S8" s="41">
        <v>0</v>
      </c>
      <c r="T8" s="42">
        <v>0</v>
      </c>
      <c r="U8" s="32">
        <f>J8*$D$9</f>
        <v>1.5309307975697995E-6</v>
      </c>
      <c r="V8" s="163">
        <f t="shared" si="4"/>
        <v>9.4308421570440413E-10</v>
      </c>
      <c r="W8" s="163">
        <f>(L8)*$D$11</f>
        <v>1.4795050329402993E-10</v>
      </c>
      <c r="X8" s="163">
        <f t="shared" si="6"/>
        <v>1.5557681789681499E-10</v>
      </c>
      <c r="Y8" s="163">
        <f t="shared" si="7"/>
        <v>2.0478179971398413E-10</v>
      </c>
      <c r="Z8" s="163">
        <f>P8*$D$14</f>
        <v>1.0178185937732133E-9</v>
      </c>
      <c r="AA8" s="163">
        <f>Q8*$D$17</f>
        <v>0</v>
      </c>
      <c r="AB8" s="163">
        <f>R8*$D$15</f>
        <v>8.6981946151537366E-10</v>
      </c>
      <c r="AC8" s="163">
        <f t="shared" si="2"/>
        <v>0</v>
      </c>
      <c r="AD8" s="33">
        <f t="shared" si="3"/>
        <v>0</v>
      </c>
      <c r="AE8" s="205">
        <f>(('Branco 4'!$P$10-U8)/('Branco 4'!$P$10))*100</f>
        <v>13.639583122533633</v>
      </c>
      <c r="AF8" s="38"/>
      <c r="AG8" s="207">
        <f>(V8/SUM(V8,W8,X8,Y8,Z8,AA8,AB8,AD8))*100</f>
        <v>28.244245262048256</v>
      </c>
      <c r="AH8" s="207">
        <f>(W8/SUM(V8,X8,Y8,Z8,AA8,AB8,AD8))*100</f>
        <v>4.6363758381180817</v>
      </c>
      <c r="AI8" s="207">
        <f>(X8/SUM(V8,W8,X8,Y8,Z8,AA8,AB8,AD8))*100</f>
        <v>4.6593397796236076</v>
      </c>
      <c r="AJ8" s="207">
        <f>(Y8/SUM(V8,W8,X8,Y8,Z8,AA8,AB8,AD8))*100</f>
        <v>6.1329701844339768</v>
      </c>
      <c r="AK8" s="207">
        <f>(Z8/SUM(V8,W8,X8,Y8,Z8,AA8,AB8,AD8))*100</f>
        <v>30.482450576623993</v>
      </c>
      <c r="AL8" s="207">
        <f>(AA8/SUM(V8,W8,X8,Y8,Z8,AB8,AD8))*100</f>
        <v>0</v>
      </c>
      <c r="AM8" s="207">
        <f>(AB8/SUM(V8,W8,X8,Y8,Z8,AA8,AB8,AD8))*100</f>
        <v>26.05005342645163</v>
      </c>
      <c r="AN8" s="208">
        <f>(AD8/SUM(V8,W8,X8,Y8,Z8,AA8,AB8,AD8))*100</f>
        <v>0</v>
      </c>
      <c r="AO8" s="208">
        <f>(V8/(SUM(V8+(W8*2/3)+(X8*2/3)+(Y8*1/3)+(Z8*1/3)+(AB8*1/3)))*100)</f>
        <v>51.173671139279456</v>
      </c>
      <c r="AP8" s="208">
        <f>(W8/(SUM(V8*3/2)+W8+(X8)+(Y8*1/2)+(Z8*1/2)++(AB8*1/2))*100)</f>
        <v>5.3520638449766622</v>
      </c>
      <c r="AQ8" s="207">
        <f>(X8/(SUM(V8*3/2)+W8+X8+(Y8*1/2)+(Z8*1/2)+(AB8*1/2))*100)</f>
        <v>5.6279434246146343</v>
      </c>
      <c r="AR8" s="207">
        <f>(Z8/(SUM(V8*3)+(W8*2)+(X8*2)+Y8+(Z8)+(AB8))*100)</f>
        <v>18.409636923142582</v>
      </c>
      <c r="AS8" s="208">
        <f>(AB8/(SUM((V8*3)+(W8*2)+(X8*2)+Z8+Y8+AB8))*100)</f>
        <v>15.732725431767259</v>
      </c>
      <c r="AT8" s="208">
        <f>(Y8/(SUM(V8*3)+(W8*2)+(X8*2)+Y8+Z8+AB8))*100</f>
        <v>3.7039592362194158</v>
      </c>
      <c r="AU8" s="206">
        <f>AO8*AV8/100</f>
        <v>44.246995484126934</v>
      </c>
      <c r="AV8" s="206">
        <f>(((U8*3)+(V8*3)+(2*W8)+(2*X8)+(Y8)+(Z8)+(AB8)))/(('Branco 4'!$P$10*3))*100</f>
        <v>86.464376111887347</v>
      </c>
      <c r="AW8" s="206">
        <f>(AU8*AE8)/100</f>
        <v>6.035105728281196</v>
      </c>
      <c r="AX8" s="209">
        <f>(((AW8/100)*($C$23/60)*1000)/$C$5)</f>
        <v>0.12205956907954102</v>
      </c>
      <c r="AY8" s="23">
        <f t="shared" ref="AY8:BB32" si="9">(AH8/100)*(($AE8/100)*($C$26))/($C$5/1000)</f>
        <v>1.534786343884986</v>
      </c>
      <c r="AZ8" s="23">
        <f t="shared" si="9"/>
        <v>1.5423881313705237</v>
      </c>
      <c r="BA8" s="23">
        <f t="shared" si="9"/>
        <v>2.0302061815471224</v>
      </c>
      <c r="BB8" s="23">
        <f t="shared" si="9"/>
        <v>10.090650651855114</v>
      </c>
      <c r="BC8" s="151">
        <f t="shared" ref="BC8:BC32" si="10">(AN8/100)*(($AE8/100)*($C$26))/($C$5/1000)</f>
        <v>0</v>
      </c>
      <c r="BD8" s="39">
        <f>AX8*42.8</f>
        <v>5.2241495566043552</v>
      </c>
      <c r="BE8" s="23">
        <f>AY8*30.07</f>
        <v>46.151025360621531</v>
      </c>
      <c r="BF8" s="3">
        <f>AZ8*28.05</f>
        <v>43.263987084943189</v>
      </c>
      <c r="BG8" s="3">
        <f>BA8*16.04</f>
        <v>32.564507152015842</v>
      </c>
      <c r="BH8" s="3">
        <f>BB8*28.01</f>
        <v>282.63912475846178</v>
      </c>
      <c r="BI8" s="121">
        <f>BC8*2</f>
        <v>0</v>
      </c>
      <c r="BJ8" s="193">
        <f t="shared" ref="BJ8:BJ16" si="11">V8*3+W8*2+X8*2+Y8+Z8+AB8</f>
        <v>5.5287271444974731E-9</v>
      </c>
      <c r="BK8" s="194">
        <f t="shared" ref="BK8:BK16" si="12">(BJ8/((3*U8)+BJ8))*100</f>
        <v>0.12023360266481649</v>
      </c>
    </row>
    <row r="9" spans="2:63" x14ac:dyDescent="0.25">
      <c r="B9" s="4" t="s">
        <v>18</v>
      </c>
      <c r="C9" s="3" t="s">
        <v>15</v>
      </c>
      <c r="D9" s="29">
        <v>1.4947576621458694E-10</v>
      </c>
      <c r="E9" s="149">
        <f>D9/$D$18</f>
        <v>1.3432113775785175</v>
      </c>
      <c r="F9" s="149"/>
      <c r="G9" s="203">
        <f t="shared" ref="G9:G28" si="13">O9/J9</f>
        <v>6.2465041572184425</v>
      </c>
      <c r="H9" s="17">
        <v>2</v>
      </c>
      <c r="I9" s="17">
        <v>15</v>
      </c>
      <c r="J9" s="40">
        <v>10584</v>
      </c>
      <c r="K9" s="41">
        <v>43</v>
      </c>
      <c r="L9" s="41">
        <v>3</v>
      </c>
      <c r="M9" s="41">
        <v>18</v>
      </c>
      <c r="N9" s="41">
        <v>9</v>
      </c>
      <c r="O9" s="41">
        <v>66113</v>
      </c>
      <c r="P9" s="41">
        <v>0</v>
      </c>
      <c r="Q9" s="41">
        <v>0</v>
      </c>
      <c r="R9" s="41">
        <v>18</v>
      </c>
      <c r="S9" s="41">
        <v>0</v>
      </c>
      <c r="T9" s="42">
        <v>0</v>
      </c>
      <c r="U9" s="32">
        <f t="shared" si="8"/>
        <v>1.5820515096151882E-6</v>
      </c>
      <c r="V9" s="163">
        <f t="shared" si="4"/>
        <v>6.7587702125482305E-9</v>
      </c>
      <c r="W9" s="163">
        <f t="shared" ref="W9:W32" si="14">(L9)*$D$11</f>
        <v>4.4385150988208983E-10</v>
      </c>
      <c r="X9" s="163">
        <f t="shared" si="6"/>
        <v>2.8003827221426698E-9</v>
      </c>
      <c r="Y9" s="163">
        <f t="shared" si="7"/>
        <v>1.8430361974258571E-9</v>
      </c>
      <c r="Z9" s="163">
        <f t="shared" ref="Z9:Z32" si="15">P9*$D$14</f>
        <v>0</v>
      </c>
      <c r="AA9" s="163">
        <f t="shared" ref="AA9:AA32" si="16">Q9*$D$17</f>
        <v>0</v>
      </c>
      <c r="AB9" s="163">
        <f t="shared" ref="AB9:AB32" si="17">R9*$D$15</f>
        <v>1.9570937884095906E-9</v>
      </c>
      <c r="AC9" s="163">
        <f t="shared" si="2"/>
        <v>0</v>
      </c>
      <c r="AD9" s="33">
        <f t="shared" si="3"/>
        <v>0</v>
      </c>
      <c r="AE9" s="204">
        <f>(('Branco 4'!$P$10-U9)/('Branco 4'!$P$10))*100</f>
        <v>10.755843367398555</v>
      </c>
      <c r="AF9" s="38"/>
      <c r="AG9" s="39">
        <f t="shared" ref="AG9:AG32" si="18">(V9/SUM(V9,W9,X9,Y9,Z9,AA9,AB9,AD9))*100</f>
        <v>48.96547408578877</v>
      </c>
      <c r="AH9" s="39">
        <f t="shared" ref="AH9:AH32" si="19">(W9/SUM(V9,X9,Y9,Z9,AA9,AB9,AD9))*100</f>
        <v>3.3224201667300446</v>
      </c>
      <c r="AI9" s="39">
        <f t="shared" ref="AI9:AI32" si="20">(X9/SUM(V9,W9,X9,Y9,Z9,AA9,AB9,AD9))*100</f>
        <v>20.288020349735923</v>
      </c>
      <c r="AJ9" s="39">
        <f t="shared" ref="AJ9:AJ32" si="21">(Y9/SUM(V9,W9,X9,Y9,Z9,AA9,AB9,AD9))*100</f>
        <v>13.352302020370319</v>
      </c>
      <c r="AK9" s="39">
        <f t="shared" ref="AK9:AK32" si="22">(Z9/SUM(V9,W9,X9,Y9,Z9,AA9,AB9,AD9))*100</f>
        <v>0</v>
      </c>
      <c r="AL9" s="39">
        <f t="shared" ref="AL9:AL32" si="23">(AA9/SUM(V9,W9,X9,Y9,Z9,AB9,AD9))*100</f>
        <v>0</v>
      </c>
      <c r="AM9" s="39">
        <f t="shared" ref="AM9:AM32" si="24">(AB9/SUM(V9,W9,X9,Y9,Z9,AA9,AB9,AD9))*100</f>
        <v>14.178618619391942</v>
      </c>
      <c r="AN9" s="38">
        <f t="shared" ref="AN9:AN25" si="25">(AD9/SUM(V9,W9,X9,Y9,Z9,AA9,AB9,AD9))*100</f>
        <v>0</v>
      </c>
      <c r="AO9" s="38">
        <f t="shared" ref="AO9:AO32" si="26">(V9/(SUM(V9+(W9*2/3)+(X9*2/3)+(Y9*1/3)+(Z9*1/3)+(AB9*1/3)))*100)</f>
        <v>66.338527556482518</v>
      </c>
      <c r="AP9" s="38">
        <f t="shared" ref="AP9:AP32" si="27">(W9/(SUM(V9*3/2)+W9+(X9)+(Y9*1/2)+(Z9*1/2)++(AB9*1/2))*100)</f>
        <v>2.9043208249762422</v>
      </c>
      <c r="AQ9" s="39">
        <f t="shared" ref="AQ9:AQ32" si="28">(X9/(SUM(V9*3/2)+W9+X9+(Y9*1/2)+(Z9*1/2)+(AB9*1/2))*100)</f>
        <v>18.324168503973816</v>
      </c>
      <c r="AR9" s="39">
        <f t="shared" ref="AR9:AR32" si="29">(Z9/(SUM(V9*3)+(W9*2)+(X9*2)+Y9+(Z9)+(AB9))*100)</f>
        <v>0</v>
      </c>
      <c r="AS9" s="38">
        <f t="shared" ref="AS9:AS32" si="30">(AB9/(SUM((V9*3)+(W9*2)+(X9*2)+Z9+Y9+AB9))*100)</f>
        <v>6.4030741357842818</v>
      </c>
      <c r="AT9" s="38">
        <f t="shared" ref="AT9:AT28" si="31">(Y9/(SUM(V9*3)+(W9*2)+(X9*2)+Y9+Z9+AB9))*100</f>
        <v>6.0299089787831477</v>
      </c>
      <c r="AU9" s="151">
        <f t="shared" ref="AU9:AU28" si="32">AO9*AV9/100</f>
        <v>59.584524363582851</v>
      </c>
      <c r="AV9" s="151">
        <f>(((U9*3)+(V9*3)+(2*W9)+(2*X9)+(Y9)+(Z9)+(AB9)))/(('Branco 4'!$P$10*3))*100</f>
        <v>89.81888286991429</v>
      </c>
      <c r="AW9" s="151">
        <f t="shared" ref="AW9:AW28" si="33">(AU9*AE9)/100</f>
        <v>6.4088181117564025</v>
      </c>
      <c r="AX9" s="186">
        <f t="shared" ref="AX9:AX28" si="34">(((AW9/100)*($C$23/60)*1000)/$C$5)</f>
        <v>0.12961787452445042</v>
      </c>
      <c r="AY9" s="23">
        <f t="shared" si="9"/>
        <v>0.86729575148258919</v>
      </c>
      <c r="AZ9" s="23">
        <f t="shared" si="9"/>
        <v>5.2960531697699569</v>
      </c>
      <c r="BA9" s="23">
        <f t="shared" si="9"/>
        <v>3.4855298949672271</v>
      </c>
      <c r="BB9" s="23">
        <f t="shared" si="9"/>
        <v>0</v>
      </c>
      <c r="BC9" s="151">
        <f t="shared" si="10"/>
        <v>0</v>
      </c>
      <c r="BD9" s="39">
        <f t="shared" ref="BD9:BD32" si="35">AX9*42.8</f>
        <v>5.5476450296464774</v>
      </c>
      <c r="BE9" s="23">
        <f t="shared" ref="BE9:BE32" si="36">AY9*30.07</f>
        <v>26.079583247081459</v>
      </c>
      <c r="BF9" s="3">
        <f t="shared" ref="BF9:BF32" si="37">AZ9*28.05</f>
        <v>148.55429141204729</v>
      </c>
      <c r="BG9" s="3">
        <f t="shared" ref="BG9:BG32" si="38">BA9*16.04</f>
        <v>55.907899515274316</v>
      </c>
      <c r="BH9" s="3">
        <f t="shared" ref="BH9:BH32" si="39">BB9*28.01</f>
        <v>0</v>
      </c>
      <c r="BI9" s="121">
        <f t="shared" ref="BI9:BI32" si="40">BC9*2</f>
        <v>0</v>
      </c>
      <c r="BJ9" s="193">
        <f t="shared" si="11"/>
        <v>3.0564909087529655E-8</v>
      </c>
      <c r="BK9" s="194">
        <f t="shared" si="12"/>
        <v>0.63987239536838314</v>
      </c>
    </row>
    <row r="10" spans="2:63" x14ac:dyDescent="0.25">
      <c r="B10" s="4" t="s">
        <v>19</v>
      </c>
      <c r="C10" s="3" t="s">
        <v>15</v>
      </c>
      <c r="D10" s="29">
        <f>(D9)*(D12/D11)</f>
        <v>1.5718070261740071E-10</v>
      </c>
      <c r="E10" s="149">
        <f t="shared" ref="E10:E19" si="41">D10/$D$18</f>
        <v>1.4124490774536989</v>
      </c>
      <c r="F10" s="149"/>
      <c r="G10" s="181">
        <f t="shared" si="13"/>
        <v>5.8844571632981575</v>
      </c>
      <c r="H10" s="17">
        <v>3</v>
      </c>
      <c r="I10" s="17">
        <v>30</v>
      </c>
      <c r="J10" s="40">
        <v>11182</v>
      </c>
      <c r="K10" s="41">
        <v>55</v>
      </c>
      <c r="L10" s="41">
        <v>3</v>
      </c>
      <c r="M10" s="41">
        <v>25</v>
      </c>
      <c r="N10" s="41">
        <v>13</v>
      </c>
      <c r="O10" s="41">
        <v>65800</v>
      </c>
      <c r="P10" s="41">
        <v>0</v>
      </c>
      <c r="Q10" s="41">
        <v>0</v>
      </c>
      <c r="R10" s="41">
        <v>19</v>
      </c>
      <c r="S10" s="41">
        <v>0</v>
      </c>
      <c r="T10" s="42">
        <v>0</v>
      </c>
      <c r="U10" s="32">
        <f t="shared" si="8"/>
        <v>1.6714380178115113E-6</v>
      </c>
      <c r="V10" s="163">
        <f t="shared" si="4"/>
        <v>8.6449386439570388E-9</v>
      </c>
      <c r="W10" s="163">
        <f t="shared" si="14"/>
        <v>4.4385150988208983E-10</v>
      </c>
      <c r="X10" s="163">
        <f t="shared" si="6"/>
        <v>3.8894204474203745E-9</v>
      </c>
      <c r="Y10" s="163">
        <f t="shared" si="7"/>
        <v>2.6621633962817935E-9</v>
      </c>
      <c r="Z10" s="163">
        <f t="shared" si="15"/>
        <v>0</v>
      </c>
      <c r="AA10" s="163">
        <f t="shared" si="16"/>
        <v>0</v>
      </c>
      <c r="AB10" s="163">
        <f t="shared" si="17"/>
        <v>2.0658212210990123E-9</v>
      </c>
      <c r="AC10" s="163">
        <f t="shared" si="2"/>
        <v>0</v>
      </c>
      <c r="AD10" s="33">
        <f t="shared" si="3"/>
        <v>0</v>
      </c>
      <c r="AE10" s="204">
        <f>(('Branco 4'!$P$10-U10)/('Branco 4'!$P$10))*100</f>
        <v>5.7135147897062151</v>
      </c>
      <c r="AF10" s="38"/>
      <c r="AG10" s="39">
        <f>(V10/SUM(V10,W10,X10,Y10,Z10,AA10,AB10,AD10))*100</f>
        <v>48.824372131941857</v>
      </c>
      <c r="AH10" s="39">
        <f t="shared" si="19"/>
        <v>2.5712123299740428</v>
      </c>
      <c r="AI10" s="39">
        <f t="shared" si="20"/>
        <v>21.966438296838405</v>
      </c>
      <c r="AJ10" s="39">
        <f t="shared" si="21"/>
        <v>15.035208656680712</v>
      </c>
      <c r="AK10" s="39">
        <f t="shared" si="22"/>
        <v>0</v>
      </c>
      <c r="AL10" s="39">
        <f t="shared" si="23"/>
        <v>0</v>
      </c>
      <c r="AM10" s="39">
        <f t="shared" si="24"/>
        <v>11.667222661841016</v>
      </c>
      <c r="AN10" s="38">
        <f t="shared" si="25"/>
        <v>0</v>
      </c>
      <c r="AO10" s="38">
        <f t="shared" si="26"/>
        <v>65.942660080960337</v>
      </c>
      <c r="AP10" s="38">
        <f t="shared" si="27"/>
        <v>2.2571009811261078</v>
      </c>
      <c r="AQ10" s="39">
        <f t="shared" si="28"/>
        <v>19.778719937703006</v>
      </c>
      <c r="AR10" s="39">
        <f t="shared" si="29"/>
        <v>0</v>
      </c>
      <c r="AS10" s="38">
        <f t="shared" si="30"/>
        <v>5.2526205286677854</v>
      </c>
      <c r="AT10" s="38">
        <f t="shared" si="31"/>
        <v>6.7688984715427596</v>
      </c>
      <c r="AU10" s="151">
        <f t="shared" si="32"/>
        <v>62.662680881306095</v>
      </c>
      <c r="AV10" s="151">
        <f>(((U10*3)+(V10*3)+(2*W10)+(2*X10)+(Y10)+(Z10)+(AB10)))/(('Branco 4'!$P$10*3))*100</f>
        <v>95.026013212649772</v>
      </c>
      <c r="AW10" s="151">
        <f t="shared" si="33"/>
        <v>3.5802415397798324</v>
      </c>
      <c r="AX10" s="186">
        <f t="shared" si="34"/>
        <v>7.2410121582187681E-2</v>
      </c>
      <c r="AY10" s="23">
        <f t="shared" si="9"/>
        <v>0.35654101256159321</v>
      </c>
      <c r="AZ10" s="23">
        <f t="shared" si="9"/>
        <v>3.0460090990640163</v>
      </c>
      <c r="BA10" s="23">
        <f t="shared" si="9"/>
        <v>2.0848797495389619</v>
      </c>
      <c r="BB10" s="23">
        <f t="shared" si="9"/>
        <v>0</v>
      </c>
      <c r="BC10" s="151">
        <f t="shared" si="10"/>
        <v>0</v>
      </c>
      <c r="BD10" s="39">
        <f t="shared" si="35"/>
        <v>3.0991532037176324</v>
      </c>
      <c r="BE10" s="23">
        <f t="shared" si="36"/>
        <v>10.721188247727108</v>
      </c>
      <c r="BF10" s="3">
        <f t="shared" si="37"/>
        <v>85.440555228745666</v>
      </c>
      <c r="BG10" s="3">
        <f t="shared" si="38"/>
        <v>33.44147118260495</v>
      </c>
      <c r="BH10" s="3">
        <f t="shared" si="39"/>
        <v>0</v>
      </c>
      <c r="BI10" s="121">
        <f t="shared" si="40"/>
        <v>0</v>
      </c>
      <c r="BJ10" s="193">
        <f t="shared" si="11"/>
        <v>3.9329344463856853E-8</v>
      </c>
      <c r="BK10" s="194">
        <f t="shared" si="12"/>
        <v>0.77823742926167616</v>
      </c>
    </row>
    <row r="11" spans="2:63" x14ac:dyDescent="0.25">
      <c r="B11" s="4" t="s">
        <v>6</v>
      </c>
      <c r="C11" s="3" t="s">
        <v>15</v>
      </c>
      <c r="D11" s="29">
        <v>1.4795050329402993E-10</v>
      </c>
      <c r="E11" s="149">
        <f t="shared" si="41"/>
        <v>1.3295051390317978</v>
      </c>
      <c r="F11" s="149"/>
      <c r="G11" s="181">
        <f t="shared" si="13"/>
        <v>5.7080869565217389</v>
      </c>
      <c r="H11" s="17">
        <v>4</v>
      </c>
      <c r="I11" s="17">
        <v>45</v>
      </c>
      <c r="J11" s="40">
        <v>11500</v>
      </c>
      <c r="K11" s="41">
        <v>46</v>
      </c>
      <c r="L11" s="41">
        <v>4</v>
      </c>
      <c r="M11" s="41">
        <v>21</v>
      </c>
      <c r="N11" s="41">
        <v>11</v>
      </c>
      <c r="O11" s="41">
        <v>65643</v>
      </c>
      <c r="P11" s="41">
        <v>0</v>
      </c>
      <c r="Q11" s="41">
        <v>0</v>
      </c>
      <c r="R11" s="41">
        <v>12</v>
      </c>
      <c r="S11" s="41">
        <v>0</v>
      </c>
      <c r="T11" s="42">
        <v>0</v>
      </c>
      <c r="U11" s="32">
        <f t="shared" si="8"/>
        <v>1.7189713114677498E-6</v>
      </c>
      <c r="V11" s="163">
        <f t="shared" si="4"/>
        <v>7.2303123204004324E-9</v>
      </c>
      <c r="W11" s="163">
        <f t="shared" si="14"/>
        <v>5.9180201317611974E-10</v>
      </c>
      <c r="X11" s="163">
        <f t="shared" si="6"/>
        <v>3.2671131758331149E-9</v>
      </c>
      <c r="Y11" s="163">
        <f t="shared" si="7"/>
        <v>2.2525997968538254E-9</v>
      </c>
      <c r="Z11" s="163">
        <f t="shared" si="15"/>
        <v>0</v>
      </c>
      <c r="AA11" s="163">
        <f t="shared" si="16"/>
        <v>0</v>
      </c>
      <c r="AB11" s="163">
        <f t="shared" si="17"/>
        <v>1.3047291922730605E-9</v>
      </c>
      <c r="AC11" s="163">
        <f t="shared" si="2"/>
        <v>0</v>
      </c>
      <c r="AD11" s="33">
        <f t="shared" si="3"/>
        <v>0</v>
      </c>
      <c r="AE11" s="204">
        <f>(('Branco 4'!$P$10-U11)/('Branco 4'!$P$10))*100</f>
        <v>3.0321427366858855</v>
      </c>
      <c r="AF11" s="38"/>
      <c r="AG11" s="39">
        <f t="shared" si="18"/>
        <v>49.365271086912941</v>
      </c>
      <c r="AH11" s="39">
        <f t="shared" si="19"/>
        <v>4.2106890859783173</v>
      </c>
      <c r="AI11" s="39">
        <f t="shared" si="20"/>
        <v>22.306356966291407</v>
      </c>
      <c r="AJ11" s="39">
        <f t="shared" si="21"/>
        <v>15.379722852118171</v>
      </c>
      <c r="AK11" s="39">
        <f t="shared" si="22"/>
        <v>0</v>
      </c>
      <c r="AL11" s="39">
        <f t="shared" si="23"/>
        <v>0</v>
      </c>
      <c r="AM11" s="39">
        <f t="shared" si="24"/>
        <v>8.9080951717451526</v>
      </c>
      <c r="AN11" s="38">
        <f t="shared" si="25"/>
        <v>0</v>
      </c>
      <c r="AO11" s="38">
        <f t="shared" si="26"/>
        <v>65.797711519000345</v>
      </c>
      <c r="AP11" s="38">
        <f t="shared" si="27"/>
        <v>3.590367553875315</v>
      </c>
      <c r="AQ11" s="39">
        <f t="shared" si="28"/>
        <v>19.821049743301351</v>
      </c>
      <c r="AR11" s="39">
        <f t="shared" si="29"/>
        <v>0</v>
      </c>
      <c r="AS11" s="38">
        <f t="shared" si="30"/>
        <v>3.9577909961731184</v>
      </c>
      <c r="AT11" s="38">
        <f t="shared" si="31"/>
        <v>6.8330801876498679</v>
      </c>
      <c r="AU11" s="151">
        <f t="shared" si="32"/>
        <v>64.210495789956312</v>
      </c>
      <c r="AV11" s="151">
        <f>(((U11*3)+(V11*3)+(2*W11)+(2*X11)+(Y11)+(Z11)+(AB11)))/(('Branco 4'!$P$10*3))*100</f>
        <v>97.587734143936459</v>
      </c>
      <c r="AW11" s="151">
        <f t="shared" si="33"/>
        <v>1.9469538842851566</v>
      </c>
      <c r="AX11" s="186">
        <f t="shared" si="34"/>
        <v>3.9376998984451274E-2</v>
      </c>
      <c r="AY11" s="23">
        <f t="shared" si="9"/>
        <v>0.30986392082337993</v>
      </c>
      <c r="AZ11" s="23">
        <f t="shared" si="9"/>
        <v>1.6415211590610808</v>
      </c>
      <c r="BA11" s="23">
        <f t="shared" si="9"/>
        <v>1.1317912880349896</v>
      </c>
      <c r="BB11" s="23">
        <f t="shared" si="9"/>
        <v>0</v>
      </c>
      <c r="BC11" s="151">
        <f t="shared" si="10"/>
        <v>0</v>
      </c>
      <c r="BD11" s="39">
        <f t="shared" si="35"/>
        <v>1.6853355565345145</v>
      </c>
      <c r="BE11" s="23">
        <f t="shared" si="36"/>
        <v>9.3176080991590347</v>
      </c>
      <c r="BF11" s="3">
        <f t="shared" si="37"/>
        <v>46.044668511663318</v>
      </c>
      <c r="BG11" s="3">
        <f t="shared" si="38"/>
        <v>18.153932260081234</v>
      </c>
      <c r="BH11" s="3">
        <f t="shared" si="39"/>
        <v>0</v>
      </c>
      <c r="BI11" s="121">
        <f t="shared" si="40"/>
        <v>0</v>
      </c>
      <c r="BJ11" s="193">
        <f t="shared" si="11"/>
        <v>3.2966096328346647E-8</v>
      </c>
      <c r="BK11" s="194">
        <f t="shared" si="12"/>
        <v>0.63519958328785409</v>
      </c>
    </row>
    <row r="12" spans="2:63" x14ac:dyDescent="0.25">
      <c r="B12" s="5" t="s">
        <v>7</v>
      </c>
      <c r="C12" s="3" t="s">
        <v>15</v>
      </c>
      <c r="D12" s="29">
        <f>(D9)*(1.02/0.98)</f>
        <v>1.5557681789681499E-10</v>
      </c>
      <c r="E12" s="149">
        <f t="shared" si="41"/>
        <v>1.3980363317653957</v>
      </c>
      <c r="F12" s="149"/>
      <c r="G12" s="181">
        <f t="shared" si="13"/>
        <v>5.7147700599843523</v>
      </c>
      <c r="H12" s="84">
        <v>5</v>
      </c>
      <c r="I12" s="84">
        <v>60</v>
      </c>
      <c r="J12" s="85">
        <v>11503</v>
      </c>
      <c r="K12" s="86">
        <v>30</v>
      </c>
      <c r="L12" s="86">
        <v>5</v>
      </c>
      <c r="M12" s="86">
        <v>14</v>
      </c>
      <c r="N12" s="86">
        <v>8</v>
      </c>
      <c r="O12" s="86">
        <v>65737</v>
      </c>
      <c r="P12" s="86">
        <v>0</v>
      </c>
      <c r="Q12" s="86">
        <v>0</v>
      </c>
      <c r="R12" s="86">
        <v>0</v>
      </c>
      <c r="S12" s="86">
        <v>0</v>
      </c>
      <c r="T12" s="87">
        <v>0</v>
      </c>
      <c r="U12" s="88">
        <f t="shared" si="8"/>
        <v>1.7194197387663935E-6</v>
      </c>
      <c r="V12" s="164">
        <f t="shared" si="4"/>
        <v>4.7154210785220211E-9</v>
      </c>
      <c r="W12" s="164">
        <f t="shared" si="14"/>
        <v>7.3975251647014964E-10</v>
      </c>
      <c r="X12" s="164">
        <f t="shared" si="6"/>
        <v>2.1780754505554098E-9</v>
      </c>
      <c r="Y12" s="164">
        <f t="shared" si="7"/>
        <v>1.638254397711873E-9</v>
      </c>
      <c r="Z12" s="163">
        <f t="shared" si="15"/>
        <v>0</v>
      </c>
      <c r="AA12" s="164">
        <f t="shared" si="16"/>
        <v>0</v>
      </c>
      <c r="AB12" s="163">
        <f t="shared" si="17"/>
        <v>0</v>
      </c>
      <c r="AC12" s="164">
        <f t="shared" si="2"/>
        <v>0</v>
      </c>
      <c r="AD12" s="89">
        <f t="shared" si="3"/>
        <v>0</v>
      </c>
      <c r="AE12" s="204">
        <f>(('Branco 4'!$P$10-U12)/('Branco 4'!$P$10))*100</f>
        <v>3.0068467739215436</v>
      </c>
      <c r="AF12" s="91"/>
      <c r="AG12" s="92">
        <f t="shared" si="18"/>
        <v>50.85929274987452</v>
      </c>
      <c r="AH12" s="92">
        <f t="shared" si="19"/>
        <v>8.670582660205902</v>
      </c>
      <c r="AI12" s="92">
        <f t="shared" si="20"/>
        <v>23.492149508275372</v>
      </c>
      <c r="AJ12" s="92">
        <f t="shared" si="21"/>
        <v>17.669781473283201</v>
      </c>
      <c r="AK12" s="92">
        <f t="shared" si="22"/>
        <v>0</v>
      </c>
      <c r="AL12" s="92">
        <f t="shared" si="23"/>
        <v>0</v>
      </c>
      <c r="AM12" s="92">
        <f t="shared" si="24"/>
        <v>0</v>
      </c>
      <c r="AN12" s="91">
        <f t="shared" si="25"/>
        <v>0</v>
      </c>
      <c r="AO12" s="91">
        <f t="shared" si="26"/>
        <v>65.43084953278516</v>
      </c>
      <c r="AP12" s="91">
        <f t="shared" si="27"/>
        <v>6.843169081565688</v>
      </c>
      <c r="AQ12" s="92">
        <f t="shared" si="28"/>
        <v>20.148547316444954</v>
      </c>
      <c r="AR12" s="92">
        <f t="shared" si="29"/>
        <v>0</v>
      </c>
      <c r="AS12" s="91">
        <f t="shared" si="30"/>
        <v>0</v>
      </c>
      <c r="AT12" s="91">
        <f t="shared" si="31"/>
        <v>7.5774340692041999</v>
      </c>
      <c r="AU12" s="151">
        <f t="shared" si="32"/>
        <v>63.729442928166691</v>
      </c>
      <c r="AV12" s="151">
        <f>(((U12*3)+(V12*3)+(2*W12)+(2*X12)+(Y12)+(Z12)+(AB12)))/(('Branco 4'!$P$10*3))*100</f>
        <v>97.399687430672969</v>
      </c>
      <c r="AW12" s="151">
        <f t="shared" si="33"/>
        <v>1.9162466987237514</v>
      </c>
      <c r="AX12" s="191">
        <f t="shared" si="34"/>
        <v>3.8755948416984563E-2</v>
      </c>
      <c r="AY12" s="93">
        <f t="shared" si="9"/>
        <v>0.63274362156827524</v>
      </c>
      <c r="AZ12" s="93">
        <f t="shared" si="9"/>
        <v>1.7143608844779235</v>
      </c>
      <c r="BA12" s="93">
        <f t="shared" si="9"/>
        <v>1.2894683044818265</v>
      </c>
      <c r="BB12" s="93">
        <f t="shared" si="9"/>
        <v>0</v>
      </c>
      <c r="BC12" s="101">
        <f t="shared" si="10"/>
        <v>0</v>
      </c>
      <c r="BD12" s="92">
        <f t="shared" si="35"/>
        <v>1.6587545922469391</v>
      </c>
      <c r="BE12" s="93">
        <f t="shared" si="36"/>
        <v>19.026600700558035</v>
      </c>
      <c r="BF12" s="189">
        <f t="shared" si="37"/>
        <v>48.087822809605754</v>
      </c>
      <c r="BG12" s="189">
        <f t="shared" si="38"/>
        <v>20.683071603888497</v>
      </c>
      <c r="BH12" s="189">
        <f t="shared" si="39"/>
        <v>0</v>
      </c>
      <c r="BI12" s="190">
        <f t="shared" si="40"/>
        <v>0</v>
      </c>
      <c r="BJ12" s="193">
        <f t="shared" si="11"/>
        <v>2.1620173567329056E-8</v>
      </c>
      <c r="BK12" s="194">
        <f t="shared" si="12"/>
        <v>0.41738758646822904</v>
      </c>
    </row>
    <row r="13" spans="2:63" x14ac:dyDescent="0.25">
      <c r="B13" s="5" t="s">
        <v>10</v>
      </c>
      <c r="C13" s="3" t="s">
        <v>15</v>
      </c>
      <c r="D13" s="29">
        <f>D9*1.37</f>
        <v>2.0478179971398413E-10</v>
      </c>
      <c r="E13" s="149">
        <f t="shared" si="41"/>
        <v>1.8401995872825689</v>
      </c>
      <c r="F13" s="149"/>
      <c r="G13" s="181">
        <f t="shared" si="13"/>
        <v>5.7060772517220331</v>
      </c>
      <c r="H13" s="17">
        <v>6</v>
      </c>
      <c r="I13" s="17">
        <v>75</v>
      </c>
      <c r="J13" s="40">
        <v>11469</v>
      </c>
      <c r="K13" s="41">
        <v>23</v>
      </c>
      <c r="L13" s="41">
        <v>4</v>
      </c>
      <c r="M13" s="41">
        <v>10</v>
      </c>
      <c r="N13" s="41">
        <v>6</v>
      </c>
      <c r="O13" s="41">
        <v>65443</v>
      </c>
      <c r="P13" s="41">
        <v>0</v>
      </c>
      <c r="Q13" s="41">
        <v>0</v>
      </c>
      <c r="R13" s="41">
        <v>0</v>
      </c>
      <c r="S13" s="41">
        <v>0</v>
      </c>
      <c r="T13" s="42">
        <v>0</v>
      </c>
      <c r="U13" s="32">
        <f t="shared" si="8"/>
        <v>1.7143375627150978E-6</v>
      </c>
      <c r="V13" s="163">
        <f t="shared" si="4"/>
        <v>3.6151561602002162E-9</v>
      </c>
      <c r="W13" s="163">
        <f t="shared" si="14"/>
        <v>5.9180201317611974E-10</v>
      </c>
      <c r="X13" s="163">
        <f t="shared" si="6"/>
        <v>1.5557681789681499E-9</v>
      </c>
      <c r="Y13" s="163">
        <f t="shared" si="7"/>
        <v>1.2286907982839047E-9</v>
      </c>
      <c r="Z13" s="163">
        <f t="shared" si="15"/>
        <v>0</v>
      </c>
      <c r="AA13" s="163">
        <f t="shared" si="16"/>
        <v>0</v>
      </c>
      <c r="AB13" s="163">
        <f t="shared" si="17"/>
        <v>0</v>
      </c>
      <c r="AC13" s="163">
        <f t="shared" si="2"/>
        <v>0</v>
      </c>
      <c r="AD13" s="33">
        <f t="shared" si="3"/>
        <v>0</v>
      </c>
      <c r="AE13" s="204">
        <f>(('Branco 4'!$P$10-U13)/('Branco 4'!$P$10))*100</f>
        <v>3.2935343519174189</v>
      </c>
      <c r="AF13" s="38"/>
      <c r="AG13" s="39">
        <f t="shared" si="18"/>
        <v>51.708488884478662</v>
      </c>
      <c r="AH13" s="39">
        <f t="shared" si="19"/>
        <v>9.247462549938902</v>
      </c>
      <c r="AI13" s="39">
        <f t="shared" si="20"/>
        <v>22.252544018608834</v>
      </c>
      <c r="AJ13" s="39">
        <f t="shared" si="21"/>
        <v>17.574273881990717</v>
      </c>
      <c r="AK13" s="39">
        <f t="shared" si="22"/>
        <v>0</v>
      </c>
      <c r="AL13" s="39">
        <f t="shared" si="23"/>
        <v>0</v>
      </c>
      <c r="AM13" s="39">
        <f t="shared" si="24"/>
        <v>0</v>
      </c>
      <c r="AN13" s="38">
        <f t="shared" si="25"/>
        <v>0</v>
      </c>
      <c r="AO13" s="38">
        <f t="shared" si="26"/>
        <v>66.254932732402054</v>
      </c>
      <c r="AP13" s="38">
        <f t="shared" si="27"/>
        <v>7.2306332629187438</v>
      </c>
      <c r="AQ13" s="39">
        <f t="shared" si="28"/>
        <v>19.008365794270926</v>
      </c>
      <c r="AR13" s="39">
        <f t="shared" si="29"/>
        <v>0</v>
      </c>
      <c r="AS13" s="38">
        <f t="shared" si="30"/>
        <v>0</v>
      </c>
      <c r="AT13" s="38">
        <f t="shared" si="31"/>
        <v>7.5060682104082774</v>
      </c>
      <c r="AU13" s="151">
        <f t="shared" si="32"/>
        <v>64.276736163863063</v>
      </c>
      <c r="AV13" s="151">
        <f>(((U13*3)+(V13*3)+(2*W13)+(2*X13)+(Y13)+(Z13)+(AB13)))/(('Branco 4'!$P$10*3))*100</f>
        <v>97.014265222291058</v>
      </c>
      <c r="AW13" s="151">
        <f t="shared" si="33"/>
        <v>2.1169763858481563</v>
      </c>
      <c r="AX13" s="186">
        <f t="shared" si="34"/>
        <v>4.2815691562338519E-2</v>
      </c>
      <c r="AY13" s="23">
        <f t="shared" si="9"/>
        <v>0.73918470893684141</v>
      </c>
      <c r="AZ13" s="23">
        <f t="shared" si="9"/>
        <v>1.7787301310680408</v>
      </c>
      <c r="BA13" s="23">
        <f t="shared" si="9"/>
        <v>1.4047782788070304</v>
      </c>
      <c r="BB13" s="23">
        <f t="shared" si="9"/>
        <v>0</v>
      </c>
      <c r="BC13" s="151">
        <f t="shared" si="10"/>
        <v>0</v>
      </c>
      <c r="BD13" s="39">
        <f t="shared" si="35"/>
        <v>1.8325115988680885</v>
      </c>
      <c r="BE13" s="23">
        <f t="shared" si="36"/>
        <v>22.227284197730821</v>
      </c>
      <c r="BF13" s="3">
        <f t="shared" si="37"/>
        <v>49.893380176458543</v>
      </c>
      <c r="BG13" s="3">
        <f t="shared" si="38"/>
        <v>22.532643592064765</v>
      </c>
      <c r="BH13" s="3">
        <f t="shared" si="39"/>
        <v>0</v>
      </c>
      <c r="BI13" s="121">
        <f t="shared" si="40"/>
        <v>0</v>
      </c>
      <c r="BJ13" s="193">
        <f t="shared" si="11"/>
        <v>1.6369299663173092E-8</v>
      </c>
      <c r="BK13" s="194">
        <f t="shared" si="12"/>
        <v>0.31727248926040902</v>
      </c>
    </row>
    <row r="14" spans="2:63" x14ac:dyDescent="0.25">
      <c r="B14" s="5" t="s">
        <v>8</v>
      </c>
      <c r="C14" s="3" t="s">
        <v>16</v>
      </c>
      <c r="D14" s="29">
        <f>(38.3/33.5)*D18</f>
        <v>1.2722732422165167E-10</v>
      </c>
      <c r="E14" s="148">
        <f t="shared" si="41"/>
        <v>1.1432835820895522</v>
      </c>
      <c r="F14" s="148"/>
      <c r="G14" s="181">
        <f t="shared" si="13"/>
        <v>5.7597408282987477</v>
      </c>
      <c r="H14" s="17">
        <v>7</v>
      </c>
      <c r="I14" s="17">
        <v>90</v>
      </c>
      <c r="J14" s="40">
        <v>11421</v>
      </c>
      <c r="K14" s="41">
        <v>20</v>
      </c>
      <c r="L14" s="41">
        <v>4</v>
      </c>
      <c r="M14" s="41">
        <v>9</v>
      </c>
      <c r="N14" s="41">
        <v>5</v>
      </c>
      <c r="O14" s="41">
        <v>65782</v>
      </c>
      <c r="P14" s="41">
        <v>0</v>
      </c>
      <c r="Q14" s="41">
        <v>0</v>
      </c>
      <c r="R14" s="41">
        <v>0</v>
      </c>
      <c r="S14" s="41">
        <v>0</v>
      </c>
      <c r="T14" s="42">
        <v>0</v>
      </c>
      <c r="U14" s="32">
        <f t="shared" si="8"/>
        <v>1.7071627259367974E-6</v>
      </c>
      <c r="V14" s="163">
        <f t="shared" si="4"/>
        <v>3.1436140523480143E-9</v>
      </c>
      <c r="W14" s="163">
        <f t="shared" si="14"/>
        <v>5.9180201317611974E-10</v>
      </c>
      <c r="X14" s="163">
        <f t="shared" si="6"/>
        <v>1.4001913610713349E-9</v>
      </c>
      <c r="Y14" s="163">
        <f t="shared" si="7"/>
        <v>1.0239089985699207E-9</v>
      </c>
      <c r="Z14" s="163">
        <f t="shared" si="15"/>
        <v>0</v>
      </c>
      <c r="AA14" s="163">
        <f t="shared" si="16"/>
        <v>0</v>
      </c>
      <c r="AB14" s="163">
        <f t="shared" si="17"/>
        <v>0</v>
      </c>
      <c r="AC14" s="163">
        <f t="shared" si="2"/>
        <v>0</v>
      </c>
      <c r="AD14" s="33">
        <f t="shared" si="3"/>
        <v>0</v>
      </c>
      <c r="AE14" s="204">
        <f>(('Branco 4'!$P$10-U14)/('Branco 4'!$P$10))*100</f>
        <v>3.6982697561469138</v>
      </c>
      <c r="AF14" s="38"/>
      <c r="AG14" s="39">
        <f t="shared" si="18"/>
        <v>51.036702159027115</v>
      </c>
      <c r="AH14" s="39">
        <f t="shared" si="19"/>
        <v>10.629173290601246</v>
      </c>
      <c r="AI14" s="39">
        <f t="shared" si="20"/>
        <v>22.73216376777075</v>
      </c>
      <c r="AJ14" s="39">
        <f t="shared" si="21"/>
        <v>16.623204289002729</v>
      </c>
      <c r="AK14" s="39">
        <f t="shared" si="22"/>
        <v>0</v>
      </c>
      <c r="AL14" s="39">
        <f t="shared" si="23"/>
        <v>0</v>
      </c>
      <c r="AM14" s="39">
        <f t="shared" si="24"/>
        <v>0</v>
      </c>
      <c r="AN14" s="38">
        <f t="shared" si="25"/>
        <v>0</v>
      </c>
      <c r="AO14" s="38">
        <f t="shared" si="26"/>
        <v>65.316250074463099</v>
      </c>
      <c r="AP14" s="38">
        <f t="shared" si="27"/>
        <v>8.1974202607792872</v>
      </c>
      <c r="AQ14" s="39">
        <f t="shared" si="28"/>
        <v>19.394927318029346</v>
      </c>
      <c r="AR14" s="39">
        <f t="shared" si="29"/>
        <v>0</v>
      </c>
      <c r="AS14" s="38">
        <f t="shared" si="30"/>
        <v>0</v>
      </c>
      <c r="AT14" s="38">
        <f t="shared" si="31"/>
        <v>7.0914023467282679</v>
      </c>
      <c r="AU14" s="151">
        <f t="shared" si="32"/>
        <v>63.078011474581629</v>
      </c>
      <c r="AV14" s="151">
        <f>(((U14*3)+(V14*3)+(2*W14)+(2*X14)+(Y14)+(Z14)+(AB14)))/(('Branco 4'!$P$10*3))*100</f>
        <v>96.573228565127678</v>
      </c>
      <c r="AW14" s="151">
        <f t="shared" si="33"/>
        <v>2.3327950211433324</v>
      </c>
      <c r="AX14" s="186">
        <f t="shared" si="34"/>
        <v>4.7180607573671811E-2</v>
      </c>
      <c r="AY14" s="23">
        <f t="shared" si="9"/>
        <v>0.95403930872201759</v>
      </c>
      <c r="AZ14" s="23">
        <f t="shared" si="9"/>
        <v>2.0403635554551149</v>
      </c>
      <c r="BA14" s="23">
        <f t="shared" si="9"/>
        <v>1.4920436326547044</v>
      </c>
      <c r="BB14" s="23">
        <f t="shared" si="9"/>
        <v>0</v>
      </c>
      <c r="BC14" s="151">
        <f t="shared" si="10"/>
        <v>0</v>
      </c>
      <c r="BD14" s="39">
        <f t="shared" si="35"/>
        <v>2.0193300041531534</v>
      </c>
      <c r="BE14" s="23">
        <f t="shared" si="36"/>
        <v>28.687962013271068</v>
      </c>
      <c r="BF14" s="3">
        <f t="shared" si="37"/>
        <v>57.232197730515978</v>
      </c>
      <c r="BG14" s="3">
        <f t="shared" si="38"/>
        <v>23.932379867781457</v>
      </c>
      <c r="BH14" s="3">
        <f t="shared" si="39"/>
        <v>0</v>
      </c>
      <c r="BI14" s="121">
        <f t="shared" si="40"/>
        <v>0</v>
      </c>
      <c r="BJ14" s="193">
        <f t="shared" si="11"/>
        <v>1.4438737904108874E-8</v>
      </c>
      <c r="BK14" s="194">
        <f t="shared" si="12"/>
        <v>0.28113207491193792</v>
      </c>
    </row>
    <row r="15" spans="2:63" x14ac:dyDescent="0.25">
      <c r="B15" s="5" t="s">
        <v>9</v>
      </c>
      <c r="C15" s="3" t="s">
        <v>16</v>
      </c>
      <c r="D15" s="29">
        <f>(38.3/39.2)*D18</f>
        <v>1.0872743268942171E-10</v>
      </c>
      <c r="E15" s="148">
        <f t="shared" si="41"/>
        <v>0.9770408163265305</v>
      </c>
      <c r="F15" s="148"/>
      <c r="G15" s="181">
        <f t="shared" si="13"/>
        <v>5.7147209889440234</v>
      </c>
      <c r="H15" s="17">
        <v>8</v>
      </c>
      <c r="I15" s="17">
        <v>105</v>
      </c>
      <c r="J15" s="40">
        <v>11487</v>
      </c>
      <c r="K15" s="41">
        <v>17</v>
      </c>
      <c r="L15" s="41">
        <v>6</v>
      </c>
      <c r="M15" s="41">
        <v>7</v>
      </c>
      <c r="N15" s="41">
        <v>4</v>
      </c>
      <c r="O15" s="41">
        <v>65645</v>
      </c>
      <c r="P15" s="41">
        <v>0</v>
      </c>
      <c r="Q15" s="41">
        <v>0</v>
      </c>
      <c r="R15" s="41">
        <v>0</v>
      </c>
      <c r="S15" s="41">
        <v>0</v>
      </c>
      <c r="T15" s="42">
        <v>0</v>
      </c>
      <c r="U15" s="32">
        <f t="shared" si="8"/>
        <v>1.7170281265069602E-6</v>
      </c>
      <c r="V15" s="163">
        <f t="shared" si="4"/>
        <v>2.6720719444958121E-9</v>
      </c>
      <c r="W15" s="163">
        <f t="shared" si="14"/>
        <v>8.8770301976417965E-10</v>
      </c>
      <c r="X15" s="163">
        <f t="shared" si="6"/>
        <v>1.0890377252777049E-9</v>
      </c>
      <c r="Y15" s="163">
        <f t="shared" si="7"/>
        <v>8.191271988559365E-10</v>
      </c>
      <c r="Z15" s="163">
        <f t="shared" si="15"/>
        <v>0</v>
      </c>
      <c r="AA15" s="163">
        <f t="shared" si="16"/>
        <v>0</v>
      </c>
      <c r="AB15" s="163">
        <f t="shared" si="17"/>
        <v>0</v>
      </c>
      <c r="AC15" s="163">
        <f t="shared" si="2"/>
        <v>0</v>
      </c>
      <c r="AD15" s="33">
        <f t="shared" si="3"/>
        <v>0</v>
      </c>
      <c r="AE15" s="204">
        <f>(('Branco 4'!$P$10-U15)/('Branco 4'!$P$10))*100</f>
        <v>3.1417585753313673</v>
      </c>
      <c r="AF15" s="38"/>
      <c r="AG15" s="39">
        <f t="shared" si="18"/>
        <v>48.867983171644028</v>
      </c>
      <c r="AH15" s="39">
        <f t="shared" si="19"/>
        <v>19.381159647968328</v>
      </c>
      <c r="AI15" s="39">
        <f t="shared" si="20"/>
        <v>19.916783057350717</v>
      </c>
      <c r="AJ15" s="39">
        <f t="shared" si="21"/>
        <v>14.980545060391639</v>
      </c>
      <c r="AK15" s="39">
        <f t="shared" si="22"/>
        <v>0</v>
      </c>
      <c r="AL15" s="39">
        <f t="shared" si="23"/>
        <v>0</v>
      </c>
      <c r="AM15" s="39">
        <f t="shared" si="24"/>
        <v>0</v>
      </c>
      <c r="AN15" s="38">
        <f t="shared" si="25"/>
        <v>0</v>
      </c>
      <c r="AO15" s="38">
        <f t="shared" si="26"/>
        <v>62.681412348959732</v>
      </c>
      <c r="AP15" s="38">
        <f t="shared" si="27"/>
        <v>13.88248025778222</v>
      </c>
      <c r="AQ15" s="39">
        <f t="shared" si="28"/>
        <v>17.031084027588498</v>
      </c>
      <c r="AR15" s="39">
        <f t="shared" si="29"/>
        <v>0</v>
      </c>
      <c r="AS15" s="38">
        <f t="shared" si="30"/>
        <v>0</v>
      </c>
      <c r="AT15" s="38">
        <f t="shared" si="31"/>
        <v>6.4050233656695568</v>
      </c>
      <c r="AU15" s="151">
        <f t="shared" si="32"/>
        <v>60.862846345448418</v>
      </c>
      <c r="AV15" s="151">
        <f>(((U15*3)+(V15*3)+(2*W15)+(2*X15)+(Y15)+(Z15)+(AB15)))/(('Branco 4'!$P$10*3))*100</f>
        <v>97.09871565530942</v>
      </c>
      <c r="AW15" s="151">
        <f t="shared" si="33"/>
        <v>1.9121636942488793</v>
      </c>
      <c r="AX15" s="186">
        <f t="shared" si="34"/>
        <v>3.867336995205109E-2</v>
      </c>
      <c r="AY15" s="23">
        <f t="shared" si="9"/>
        <v>1.4778173592041282</v>
      </c>
      <c r="AZ15" s="23">
        <f t="shared" si="9"/>
        <v>1.5186587529472715</v>
      </c>
      <c r="BA15" s="23">
        <f t="shared" si="9"/>
        <v>1.1422696031972028</v>
      </c>
      <c r="BB15" s="23">
        <f t="shared" si="9"/>
        <v>0</v>
      </c>
      <c r="BC15" s="151">
        <f t="shared" si="10"/>
        <v>0</v>
      </c>
      <c r="BD15" s="39">
        <f t="shared" si="35"/>
        <v>1.6552202339477866</v>
      </c>
      <c r="BE15" s="23">
        <f t="shared" si="36"/>
        <v>44.437967991268131</v>
      </c>
      <c r="BF15" s="3">
        <f t="shared" si="37"/>
        <v>42.598378020170969</v>
      </c>
      <c r="BG15" s="3">
        <f t="shared" si="38"/>
        <v>18.322004435283134</v>
      </c>
      <c r="BH15" s="3">
        <f t="shared" si="39"/>
        <v>0</v>
      </c>
      <c r="BI15" s="121">
        <f t="shared" si="40"/>
        <v>0</v>
      </c>
      <c r="BJ15" s="193">
        <f t="shared" si="11"/>
        <v>1.2788824522427141E-8</v>
      </c>
      <c r="BK15" s="194">
        <f t="shared" si="12"/>
        <v>0.24765953804623828</v>
      </c>
    </row>
    <row r="16" spans="2:63" x14ac:dyDescent="0.25">
      <c r="B16" s="5" t="s">
        <v>12</v>
      </c>
      <c r="C16" s="3" t="s">
        <v>16</v>
      </c>
      <c r="D16" s="29">
        <v>1.2679079497666798E-10</v>
      </c>
      <c r="E16" s="148">
        <f t="shared" si="41"/>
        <v>1.1393608656295069</v>
      </c>
      <c r="F16" s="148"/>
      <c r="G16" s="181">
        <f t="shared" si="13"/>
        <v>5.7100679324159556</v>
      </c>
      <c r="H16" s="84">
        <v>9</v>
      </c>
      <c r="I16" s="84">
        <v>120</v>
      </c>
      <c r="J16" s="85">
        <v>11482</v>
      </c>
      <c r="K16" s="86">
        <v>14</v>
      </c>
      <c r="L16" s="86">
        <v>8</v>
      </c>
      <c r="M16" s="86">
        <v>6</v>
      </c>
      <c r="N16" s="86">
        <v>3</v>
      </c>
      <c r="O16" s="86">
        <v>65563</v>
      </c>
      <c r="P16" s="86">
        <v>0</v>
      </c>
      <c r="Q16" s="86">
        <v>0</v>
      </c>
      <c r="R16" s="86">
        <v>0</v>
      </c>
      <c r="S16" s="86">
        <v>0</v>
      </c>
      <c r="T16" s="87">
        <v>0</v>
      </c>
      <c r="U16" s="88">
        <f t="shared" si="8"/>
        <v>1.7162807476758873E-6</v>
      </c>
      <c r="V16" s="164">
        <f t="shared" si="4"/>
        <v>2.2005298366436098E-9</v>
      </c>
      <c r="W16" s="164">
        <f t="shared" si="14"/>
        <v>1.1836040263522395E-9</v>
      </c>
      <c r="X16" s="164">
        <f t="shared" si="6"/>
        <v>9.3346090738088988E-10</v>
      </c>
      <c r="Y16" s="164">
        <f t="shared" si="7"/>
        <v>6.1434539914195235E-10</v>
      </c>
      <c r="Z16" s="163">
        <f t="shared" si="15"/>
        <v>0</v>
      </c>
      <c r="AA16" s="164">
        <f t="shared" si="16"/>
        <v>0</v>
      </c>
      <c r="AB16" s="163">
        <f t="shared" si="17"/>
        <v>0</v>
      </c>
      <c r="AC16" s="164">
        <f t="shared" si="2"/>
        <v>0</v>
      </c>
      <c r="AD16" s="89">
        <f t="shared" si="3"/>
        <v>0</v>
      </c>
      <c r="AE16" s="204">
        <f>(('Branco 4'!$P$10-U16)/('Branco 4'!$P$10))*100</f>
        <v>3.1839185132719368</v>
      </c>
      <c r="AF16" s="91"/>
      <c r="AG16" s="92">
        <f t="shared" si="18"/>
        <v>44.6179345451865</v>
      </c>
      <c r="AH16" s="92">
        <f t="shared" si="19"/>
        <v>31.576784502373251</v>
      </c>
      <c r="AI16" s="92">
        <f t="shared" si="20"/>
        <v>18.926849785203022</v>
      </c>
      <c r="AJ16" s="92">
        <f t="shared" si="21"/>
        <v>12.456464961575282</v>
      </c>
      <c r="AK16" s="92">
        <f t="shared" si="22"/>
        <v>0</v>
      </c>
      <c r="AL16" s="92">
        <f t="shared" si="23"/>
        <v>0</v>
      </c>
      <c r="AM16" s="92">
        <f t="shared" si="24"/>
        <v>0</v>
      </c>
      <c r="AN16" s="91">
        <f t="shared" si="25"/>
        <v>0</v>
      </c>
      <c r="AO16" s="91">
        <f t="shared" si="26"/>
        <v>57.655477403563317</v>
      </c>
      <c r="AP16" s="91">
        <f t="shared" si="27"/>
        <v>20.674189176246777</v>
      </c>
      <c r="AQ16" s="92">
        <f t="shared" si="28"/>
        <v>16.304901773019363</v>
      </c>
      <c r="AR16" s="92">
        <f t="shared" si="29"/>
        <v>0</v>
      </c>
      <c r="AS16" s="91">
        <f t="shared" si="30"/>
        <v>0</v>
      </c>
      <c r="AT16" s="91">
        <f t="shared" si="31"/>
        <v>5.3654316471705394</v>
      </c>
      <c r="AU16" s="151">
        <f t="shared" si="32"/>
        <v>55.943906750326136</v>
      </c>
      <c r="AV16" s="151">
        <f>(((U16*3)+(V16*3)+(2*W16)+(2*X16)+(Y16)+(Z16)+(AB16)))/(('Branco 4'!$P$10*3))*100</f>
        <v>97.031382393632896</v>
      </c>
      <c r="AW16" s="151">
        <f t="shared" si="33"/>
        <v>1.7812084040712224</v>
      </c>
      <c r="AX16" s="191">
        <f t="shared" si="34"/>
        <v>3.6024808848495508E-2</v>
      </c>
      <c r="AY16" s="93">
        <f t="shared" si="9"/>
        <v>2.4400461644373816</v>
      </c>
      <c r="AZ16" s="93">
        <f t="shared" si="9"/>
        <v>1.4625424327102126</v>
      </c>
      <c r="BA16" s="93">
        <f t="shared" si="9"/>
        <v>0.96255366184153501</v>
      </c>
      <c r="BB16" s="93">
        <f t="shared" si="9"/>
        <v>0</v>
      </c>
      <c r="BC16" s="101">
        <f t="shared" si="10"/>
        <v>0</v>
      </c>
      <c r="BD16" s="92">
        <f t="shared" si="35"/>
        <v>1.5418618187156077</v>
      </c>
      <c r="BE16" s="93">
        <f t="shared" si="36"/>
        <v>73.372188164632064</v>
      </c>
      <c r="BF16" s="189">
        <f t="shared" si="37"/>
        <v>41.024315237521463</v>
      </c>
      <c r="BG16" s="189">
        <f t="shared" si="38"/>
        <v>15.439360735938221</v>
      </c>
      <c r="BH16" s="189">
        <f t="shared" si="39"/>
        <v>0</v>
      </c>
      <c r="BI16" s="190">
        <f t="shared" si="40"/>
        <v>0</v>
      </c>
      <c r="BJ16" s="193">
        <f t="shared" si="11"/>
        <v>1.1450064776539041E-8</v>
      </c>
      <c r="BK16" s="194">
        <f t="shared" si="12"/>
        <v>0.22188791048178533</v>
      </c>
    </row>
    <row r="17" spans="2:63" x14ac:dyDescent="0.25">
      <c r="B17" s="5" t="s">
        <v>68</v>
      </c>
      <c r="C17" s="3" t="s">
        <v>16</v>
      </c>
      <c r="D17" s="29">
        <f>D14*0.6875</f>
        <v>8.7468785402385524E-11</v>
      </c>
      <c r="E17" s="148">
        <f t="shared" si="41"/>
        <v>0.78600746268656707</v>
      </c>
      <c r="F17" s="148"/>
      <c r="G17" s="181">
        <f t="shared" si="13"/>
        <v>5.7255468066491693</v>
      </c>
      <c r="H17" s="17">
        <v>10</v>
      </c>
      <c r="I17" s="17">
        <v>135</v>
      </c>
      <c r="J17" s="40">
        <v>11430</v>
      </c>
      <c r="K17" s="41">
        <v>12</v>
      </c>
      <c r="L17" s="41">
        <v>8</v>
      </c>
      <c r="M17" s="41">
        <v>5</v>
      </c>
      <c r="N17" s="41">
        <v>3</v>
      </c>
      <c r="O17" s="41">
        <v>65443</v>
      </c>
      <c r="P17" s="41">
        <v>0</v>
      </c>
      <c r="Q17" s="41">
        <v>0</v>
      </c>
      <c r="R17" s="41">
        <v>0</v>
      </c>
      <c r="S17" s="41">
        <v>0</v>
      </c>
      <c r="T17" s="42">
        <v>0</v>
      </c>
      <c r="U17" s="32">
        <f t="shared" si="8"/>
        <v>1.7085080078327289E-6</v>
      </c>
      <c r="V17" s="163">
        <f t="shared" si="4"/>
        <v>1.8861684314088083E-9</v>
      </c>
      <c r="W17" s="163">
        <f t="shared" si="14"/>
        <v>1.1836040263522395E-9</v>
      </c>
      <c r="X17" s="163">
        <f t="shared" si="6"/>
        <v>7.7788408948407497E-10</v>
      </c>
      <c r="Y17" s="163">
        <f t="shared" si="7"/>
        <v>6.1434539914195235E-10</v>
      </c>
      <c r="Z17" s="163">
        <f t="shared" si="15"/>
        <v>0</v>
      </c>
      <c r="AA17" s="163">
        <f t="shared" si="16"/>
        <v>0</v>
      </c>
      <c r="AB17" s="163">
        <f t="shared" si="17"/>
        <v>0</v>
      </c>
      <c r="AC17" s="163">
        <f t="shared" si="2"/>
        <v>0</v>
      </c>
      <c r="AD17" s="33">
        <f t="shared" si="3"/>
        <v>0</v>
      </c>
      <c r="AE17" s="204">
        <f>(('Branco 4'!$P$10-U17)/('Branco 4'!$P$10))*100</f>
        <v>3.6223818678538766</v>
      </c>
      <c r="AF17" s="38"/>
      <c r="AG17" s="39">
        <f t="shared" si="18"/>
        <v>42.271797593814512</v>
      </c>
      <c r="AH17" s="39">
        <f t="shared" si="19"/>
        <v>36.103122781985626</v>
      </c>
      <c r="AI17" s="39">
        <f t="shared" si="20"/>
        <v>17.433521966836771</v>
      </c>
      <c r="AJ17" s="39">
        <f t="shared" si="21"/>
        <v>13.76838034863238</v>
      </c>
      <c r="AK17" s="39">
        <f t="shared" si="22"/>
        <v>0</v>
      </c>
      <c r="AL17" s="39">
        <f t="shared" si="23"/>
        <v>0</v>
      </c>
      <c r="AM17" s="39">
        <f t="shared" si="24"/>
        <v>0</v>
      </c>
      <c r="AN17" s="38">
        <f t="shared" si="25"/>
        <v>0</v>
      </c>
      <c r="AO17" s="38">
        <f t="shared" si="26"/>
        <v>55.498247820675587</v>
      </c>
      <c r="AP17" s="38">
        <f t="shared" si="27"/>
        <v>23.217420912575545</v>
      </c>
      <c r="AQ17" s="39">
        <f t="shared" si="28"/>
        <v>15.258871991512279</v>
      </c>
      <c r="AR17" s="39">
        <f t="shared" si="29"/>
        <v>0</v>
      </c>
      <c r="AS17" s="38">
        <f t="shared" si="30"/>
        <v>0</v>
      </c>
      <c r="AT17" s="38">
        <f t="shared" si="31"/>
        <v>6.0254592752365843</v>
      </c>
      <c r="AU17" s="151">
        <f t="shared" si="32"/>
        <v>53.594288868125844</v>
      </c>
      <c r="AV17" s="151">
        <f>(((U17*3)+(V17*3)+(2*W17)+(2*X17)+(Y17)+(Z17)+(AB17)))/(('Branco 4'!$P$10*3))*100</f>
        <v>96.569335019905921</v>
      </c>
      <c r="AW17" s="151">
        <f t="shared" si="33"/>
        <v>1.9413898021642191</v>
      </c>
      <c r="AX17" s="186">
        <f t="shared" si="34"/>
        <v>3.9264465833155807E-2</v>
      </c>
      <c r="AY17" s="23">
        <f t="shared" si="9"/>
        <v>3.1740019936040071</v>
      </c>
      <c r="AZ17" s="23">
        <f t="shared" si="9"/>
        <v>1.5326661300858215</v>
      </c>
      <c r="BA17" s="23">
        <f t="shared" si="9"/>
        <v>1.2104456154430727</v>
      </c>
      <c r="BB17" s="23">
        <f t="shared" si="9"/>
        <v>0</v>
      </c>
      <c r="BC17" s="151">
        <f t="shared" si="10"/>
        <v>0</v>
      </c>
      <c r="BD17" s="39">
        <f t="shared" si="35"/>
        <v>1.6805191376590685</v>
      </c>
      <c r="BE17" s="23">
        <f t="shared" si="36"/>
        <v>95.442239947672491</v>
      </c>
      <c r="BF17" s="3">
        <f t="shared" si="37"/>
        <v>42.991284948907293</v>
      </c>
      <c r="BG17" s="3">
        <f t="shared" si="38"/>
        <v>19.415547671706886</v>
      </c>
      <c r="BH17" s="3">
        <f t="shared" si="39"/>
        <v>0</v>
      </c>
      <c r="BI17" s="121">
        <f t="shared" si="40"/>
        <v>0</v>
      </c>
      <c r="BJ17" s="193"/>
      <c r="BK17" s="194"/>
    </row>
    <row r="18" spans="2:63" x14ac:dyDescent="0.25">
      <c r="B18" s="5" t="s">
        <v>13</v>
      </c>
      <c r="C18" s="3" t="s">
        <v>16</v>
      </c>
      <c r="D18" s="29">
        <v>1.1128238541580499E-10</v>
      </c>
      <c r="E18" s="148">
        <f t="shared" si="41"/>
        <v>1</v>
      </c>
      <c r="F18" s="148"/>
      <c r="G18" s="181">
        <f t="shared" si="13"/>
        <v>5.6173179548975725</v>
      </c>
      <c r="H18" s="17">
        <v>11</v>
      </c>
      <c r="I18" s="17">
        <v>150</v>
      </c>
      <c r="J18" s="40">
        <v>11618</v>
      </c>
      <c r="K18" s="41">
        <v>11</v>
      </c>
      <c r="L18" s="41">
        <v>7</v>
      </c>
      <c r="M18" s="41">
        <v>5</v>
      </c>
      <c r="N18" s="41">
        <v>2</v>
      </c>
      <c r="O18" s="41">
        <v>65262</v>
      </c>
      <c r="P18" s="41">
        <v>0</v>
      </c>
      <c r="Q18" s="41">
        <v>0</v>
      </c>
      <c r="R18" s="41">
        <v>0</v>
      </c>
      <c r="S18" s="41">
        <v>0</v>
      </c>
      <c r="T18" s="42">
        <v>0</v>
      </c>
      <c r="U18" s="32">
        <f t="shared" si="8"/>
        <v>1.7366094518810711E-6</v>
      </c>
      <c r="V18" s="163">
        <f t="shared" si="4"/>
        <v>1.7289877287914077E-9</v>
      </c>
      <c r="W18" s="163">
        <f t="shared" si="14"/>
        <v>1.0356535230582096E-9</v>
      </c>
      <c r="X18" s="163">
        <f t="shared" si="6"/>
        <v>7.7788408948407497E-10</v>
      </c>
      <c r="Y18" s="163">
        <f t="shared" si="7"/>
        <v>4.0956359942796825E-10</v>
      </c>
      <c r="Z18" s="163">
        <f t="shared" si="15"/>
        <v>0</v>
      </c>
      <c r="AA18" s="163">
        <f t="shared" si="16"/>
        <v>0</v>
      </c>
      <c r="AB18" s="163">
        <f t="shared" si="17"/>
        <v>0</v>
      </c>
      <c r="AC18" s="163">
        <f t="shared" si="2"/>
        <v>0</v>
      </c>
      <c r="AD18" s="33">
        <f t="shared" si="3"/>
        <v>0</v>
      </c>
      <c r="AE18" s="204">
        <f>(('Branco 4'!$P$10-U18)/('Branco 4'!$P$10))*100</f>
        <v>2.0371682012883996</v>
      </c>
      <c r="AF18" s="38"/>
      <c r="AG18" s="39">
        <f t="shared" si="18"/>
        <v>43.748704918017133</v>
      </c>
      <c r="AH18" s="39">
        <f t="shared" si="19"/>
        <v>35.510936287892697</v>
      </c>
      <c r="AI18" s="39">
        <f t="shared" si="20"/>
        <v>19.682858891686745</v>
      </c>
      <c r="AJ18" s="39">
        <f t="shared" si="21"/>
        <v>10.363218175677892</v>
      </c>
      <c r="AK18" s="39">
        <f t="shared" si="22"/>
        <v>0</v>
      </c>
      <c r="AL18" s="39">
        <f t="shared" si="23"/>
        <v>0</v>
      </c>
      <c r="AM18" s="39">
        <f t="shared" si="24"/>
        <v>0</v>
      </c>
      <c r="AN18" s="38">
        <f t="shared" si="25"/>
        <v>0</v>
      </c>
      <c r="AO18" s="38">
        <f t="shared" si="26"/>
        <v>56.235765379425203</v>
      </c>
      <c r="AP18" s="38">
        <f t="shared" si="27"/>
        <v>22.45659606378965</v>
      </c>
      <c r="AQ18" s="39">
        <f t="shared" si="28"/>
        <v>16.867251829945097</v>
      </c>
      <c r="AR18" s="39">
        <f t="shared" si="29"/>
        <v>0</v>
      </c>
      <c r="AS18" s="38">
        <f t="shared" si="30"/>
        <v>0</v>
      </c>
      <c r="AT18" s="38">
        <f t="shared" si="31"/>
        <v>4.4403867268400568</v>
      </c>
      <c r="AU18" s="151">
        <f t="shared" si="32"/>
        <v>55.187681136723839</v>
      </c>
      <c r="AV18" s="151">
        <f>(((U18*3)+(V18*3)+(2*W18)+(2*X18)+(Y18)+(Z18)+(AB18)))/(('Branco 4'!$P$10*3))*100</f>
        <v>98.136267488083618</v>
      </c>
      <c r="AW18" s="151">
        <f t="shared" si="33"/>
        <v>1.1242658911457744</v>
      </c>
      <c r="AX18" s="186">
        <f t="shared" si="34"/>
        <v>2.2738194885470856E-2</v>
      </c>
      <c r="AY18" s="23">
        <f t="shared" si="9"/>
        <v>1.7557278869084452</v>
      </c>
      <c r="AZ18" s="23">
        <f t="shared" si="9"/>
        <v>0.97315778919635476</v>
      </c>
      <c r="BA18" s="23">
        <f t="shared" si="9"/>
        <v>0.51237711677452003</v>
      </c>
      <c r="BB18" s="23">
        <f t="shared" si="9"/>
        <v>0</v>
      </c>
      <c r="BC18" s="151">
        <f t="shared" si="10"/>
        <v>0</v>
      </c>
      <c r="BD18" s="39">
        <f t="shared" si="35"/>
        <v>0.97319474109815263</v>
      </c>
      <c r="BE18" s="23">
        <f t="shared" si="36"/>
        <v>52.794737559336944</v>
      </c>
      <c r="BF18" s="3">
        <f t="shared" si="37"/>
        <v>27.297075986957751</v>
      </c>
      <c r="BG18" s="3">
        <f t="shared" si="38"/>
        <v>8.2185289530633003</v>
      </c>
      <c r="BH18" s="3">
        <f t="shared" si="39"/>
        <v>0</v>
      </c>
      <c r="BI18" s="121">
        <f t="shared" si="40"/>
        <v>0</v>
      </c>
      <c r="BJ18" s="193">
        <f t="shared" ref="BJ18:BJ32" si="42">V18*3+W18*2+X18*2+Y18+Z18+AB18</f>
        <v>9.2236020108867599E-9</v>
      </c>
      <c r="BK18" s="194">
        <f t="shared" ref="BK18:BK32" si="43">(BJ18/((3*U18)+BJ18))*100</f>
        <v>0.1767294536579524</v>
      </c>
    </row>
    <row r="19" spans="2:63" ht="15.75" thickBot="1" x14ac:dyDescent="0.3">
      <c r="B19" s="6" t="s">
        <v>11</v>
      </c>
      <c r="C19" s="7" t="s">
        <v>17</v>
      </c>
      <c r="D19" s="30">
        <f>0.00000000010002884</f>
        <v>1.0002884E-10</v>
      </c>
      <c r="E19" s="148">
        <f t="shared" si="41"/>
        <v>0.89887397386606804</v>
      </c>
      <c r="F19" s="148"/>
      <c r="G19" s="203">
        <f t="shared" si="13"/>
        <v>5.6692473118279567</v>
      </c>
      <c r="H19" s="17">
        <v>12</v>
      </c>
      <c r="I19" s="17">
        <v>165</v>
      </c>
      <c r="J19" s="40">
        <v>11625</v>
      </c>
      <c r="K19" s="41">
        <v>9</v>
      </c>
      <c r="L19" s="41">
        <v>6</v>
      </c>
      <c r="M19" s="41">
        <v>3</v>
      </c>
      <c r="N19" s="41">
        <v>2</v>
      </c>
      <c r="O19" s="41">
        <v>65905</v>
      </c>
      <c r="P19" s="41">
        <v>0</v>
      </c>
      <c r="Q19" s="41">
        <v>0</v>
      </c>
      <c r="R19" s="41">
        <v>0</v>
      </c>
      <c r="S19" s="41">
        <v>0</v>
      </c>
      <c r="T19" s="42">
        <v>0</v>
      </c>
      <c r="U19" s="32">
        <f t="shared" si="8"/>
        <v>1.7376557822445731E-6</v>
      </c>
      <c r="V19" s="163">
        <f t="shared" si="4"/>
        <v>1.4146263235566064E-9</v>
      </c>
      <c r="W19" s="163">
        <f t="shared" si="14"/>
        <v>8.8770301976417965E-10</v>
      </c>
      <c r="X19" s="163">
        <f t="shared" si="6"/>
        <v>4.6673045369044494E-10</v>
      </c>
      <c r="Y19" s="163">
        <f t="shared" si="7"/>
        <v>4.0956359942796825E-10</v>
      </c>
      <c r="Z19" s="163">
        <f t="shared" si="15"/>
        <v>0</v>
      </c>
      <c r="AA19" s="163">
        <f t="shared" si="16"/>
        <v>0</v>
      </c>
      <c r="AB19" s="163">
        <f t="shared" si="17"/>
        <v>0</v>
      </c>
      <c r="AC19" s="163">
        <f t="shared" si="2"/>
        <v>0</v>
      </c>
      <c r="AD19" s="33">
        <f t="shared" si="3"/>
        <v>0</v>
      </c>
      <c r="AE19" s="204">
        <f>(('Branco 4'!$P$10-U19)/('Branco 4'!$P$10))*100</f>
        <v>1.978144288171602</v>
      </c>
      <c r="AF19" s="38"/>
      <c r="AG19" s="39">
        <f t="shared" si="18"/>
        <v>44.504370198159322</v>
      </c>
      <c r="AH19" s="39">
        <f t="shared" si="19"/>
        <v>38.748750449920394</v>
      </c>
      <c r="AI19" s="39">
        <f t="shared" si="20"/>
        <v>14.683414657215829</v>
      </c>
      <c r="AJ19" s="39">
        <f t="shared" si="21"/>
        <v>12.884936286782988</v>
      </c>
      <c r="AK19" s="39">
        <f t="shared" si="22"/>
        <v>0</v>
      </c>
      <c r="AL19" s="39">
        <f t="shared" si="23"/>
        <v>0</v>
      </c>
      <c r="AM19" s="39">
        <f t="shared" si="24"/>
        <v>0</v>
      </c>
      <c r="AN19" s="38">
        <f t="shared" si="25"/>
        <v>0</v>
      </c>
      <c r="AO19" s="38">
        <f t="shared" si="26"/>
        <v>57.643310986401765</v>
      </c>
      <c r="AP19" s="38">
        <f t="shared" si="27"/>
        <v>24.114797611091287</v>
      </c>
      <c r="AQ19" s="39">
        <f t="shared" si="28"/>
        <v>12.678914207893358</v>
      </c>
      <c r="AR19" s="39">
        <f t="shared" si="29"/>
        <v>0</v>
      </c>
      <c r="AS19" s="38">
        <f t="shared" si="30"/>
        <v>0</v>
      </c>
      <c r="AT19" s="38">
        <f t="shared" si="31"/>
        <v>5.5629771946136017</v>
      </c>
      <c r="AU19" s="151">
        <f t="shared" si="32"/>
        <v>56.582842757723519</v>
      </c>
      <c r="AV19" s="151">
        <f>(((U19*3)+(V19*3)+(2*W19)+(2*X19)+(Y19)+(Z19)+(AB19)))/(('Branco 4'!$P$10*3))*100</f>
        <v>98.160292650558517</v>
      </c>
      <c r="AW19" s="151">
        <f t="shared" si="33"/>
        <v>1.1192902720970268</v>
      </c>
      <c r="AX19" s="186">
        <f t="shared" si="34"/>
        <v>2.2637563356490659E-2</v>
      </c>
      <c r="AY19" s="23">
        <f t="shared" si="9"/>
        <v>1.8603037610905857</v>
      </c>
      <c r="AZ19" s="23">
        <f t="shared" si="9"/>
        <v>0.70494173864456466</v>
      </c>
      <c r="BA19" s="23">
        <f t="shared" si="9"/>
        <v>0.61859789431646572</v>
      </c>
      <c r="BB19" s="23">
        <f t="shared" si="9"/>
        <v>0</v>
      </c>
      <c r="BC19" s="151">
        <f t="shared" si="10"/>
        <v>0</v>
      </c>
      <c r="BD19" s="39">
        <f t="shared" si="35"/>
        <v>0.96888771165780019</v>
      </c>
      <c r="BE19" s="23">
        <f t="shared" si="36"/>
        <v>55.939334095993914</v>
      </c>
      <c r="BF19" s="3">
        <f t="shared" si="37"/>
        <v>19.77361576898004</v>
      </c>
      <c r="BG19" s="3">
        <f t="shared" si="38"/>
        <v>9.9223102248361101</v>
      </c>
      <c r="BH19" s="3">
        <f t="shared" si="39"/>
        <v>0</v>
      </c>
      <c r="BI19" s="121">
        <f t="shared" si="40"/>
        <v>0</v>
      </c>
      <c r="BJ19" s="193">
        <f t="shared" si="42"/>
        <v>7.3623095170070363E-9</v>
      </c>
      <c r="BK19" s="194">
        <f t="shared" si="43"/>
        <v>0.14103150570561274</v>
      </c>
    </row>
    <row r="20" spans="2:63" ht="15.75" thickBot="1" x14ac:dyDescent="0.3">
      <c r="B20" s="5"/>
      <c r="C20" s="3"/>
      <c r="G20" s="181">
        <f t="shared" si="13"/>
        <v>5.5965212920915093</v>
      </c>
      <c r="H20" s="84">
        <v>13</v>
      </c>
      <c r="I20" s="84">
        <v>180</v>
      </c>
      <c r="J20" s="40">
        <v>11671</v>
      </c>
      <c r="K20" s="86">
        <v>11</v>
      </c>
      <c r="L20" s="86">
        <v>6</v>
      </c>
      <c r="M20" s="86">
        <v>4</v>
      </c>
      <c r="N20" s="86">
        <v>2</v>
      </c>
      <c r="O20" s="86">
        <v>65317</v>
      </c>
      <c r="P20" s="86">
        <v>0</v>
      </c>
      <c r="Q20" s="86">
        <v>0</v>
      </c>
      <c r="R20" s="86">
        <v>0</v>
      </c>
      <c r="S20" s="86">
        <v>0</v>
      </c>
      <c r="T20" s="87">
        <v>0</v>
      </c>
      <c r="U20" s="88">
        <f t="shared" si="8"/>
        <v>1.7445316674904443E-6</v>
      </c>
      <c r="V20" s="164">
        <f t="shared" si="4"/>
        <v>1.7289877287914077E-9</v>
      </c>
      <c r="W20" s="164">
        <f t="shared" si="14"/>
        <v>8.8770301976417965E-10</v>
      </c>
      <c r="X20" s="164">
        <f t="shared" si="6"/>
        <v>6.2230727158725995E-10</v>
      </c>
      <c r="Y20" s="164">
        <f t="shared" si="7"/>
        <v>4.0956359942796825E-10</v>
      </c>
      <c r="Z20" s="163">
        <f t="shared" si="15"/>
        <v>0</v>
      </c>
      <c r="AA20" s="164">
        <f t="shared" si="16"/>
        <v>0</v>
      </c>
      <c r="AB20" s="163">
        <f t="shared" si="17"/>
        <v>0</v>
      </c>
      <c r="AC20" s="164">
        <f t="shared" si="2"/>
        <v>0</v>
      </c>
      <c r="AD20" s="89">
        <f t="shared" si="3"/>
        <v>0</v>
      </c>
      <c r="AE20" s="204">
        <f>(('Branco 4'!$P$10-U20)/('Branco 4'!$P$10))*100</f>
        <v>1.590272859118335</v>
      </c>
      <c r="AF20" s="91"/>
      <c r="AG20" s="92">
        <f t="shared" si="18"/>
        <v>47.388201408389271</v>
      </c>
      <c r="AH20" s="92">
        <f t="shared" si="19"/>
        <v>32.153150466537923</v>
      </c>
      <c r="AI20" s="92">
        <f t="shared" si="20"/>
        <v>17.056235757379444</v>
      </c>
      <c r="AJ20" s="92">
        <f t="shared" si="21"/>
        <v>11.225344180322374</v>
      </c>
      <c r="AK20" s="92">
        <f t="shared" si="22"/>
        <v>0</v>
      </c>
      <c r="AL20" s="92">
        <f t="shared" si="23"/>
        <v>0</v>
      </c>
      <c r="AM20" s="92">
        <f t="shared" si="24"/>
        <v>0</v>
      </c>
      <c r="AN20" s="91">
        <f t="shared" si="25"/>
        <v>0</v>
      </c>
      <c r="AO20" s="91">
        <f t="shared" si="26"/>
        <v>60.197698272204079</v>
      </c>
      <c r="AP20" s="91">
        <f t="shared" si="27"/>
        <v>20.604610682206275</v>
      </c>
      <c r="AQ20" s="92">
        <f t="shared" si="28"/>
        <v>14.444469344227079</v>
      </c>
      <c r="AR20" s="92">
        <f t="shared" si="29"/>
        <v>0</v>
      </c>
      <c r="AS20" s="91">
        <f t="shared" si="30"/>
        <v>0</v>
      </c>
      <c r="AT20" s="91">
        <f t="shared" si="31"/>
        <v>4.7532217013625679</v>
      </c>
      <c r="AU20" s="151">
        <f t="shared" si="32"/>
        <v>59.337923502126706</v>
      </c>
      <c r="AV20" s="151">
        <f>(((U20*3)+(V20*3)+(2*W20)+(2*X20)+(Y20)+(Z20)+(AB20)))/(('Branco 4'!$P$10*3))*100</f>
        <v>98.571748098756842</v>
      </c>
      <c r="AW20" s="151">
        <f t="shared" si="33"/>
        <v>0.94363489261872091</v>
      </c>
      <c r="AX20" s="191">
        <f t="shared" si="34"/>
        <v>1.9084946237431254E-2</v>
      </c>
      <c r="AY20" s="93">
        <f t="shared" si="9"/>
        <v>1.2409759798809015</v>
      </c>
      <c r="AZ20" s="93">
        <f t="shared" si="9"/>
        <v>0.65829875377598435</v>
      </c>
      <c r="BA20" s="93">
        <f t="shared" si="9"/>
        <v>0.43325093471550824</v>
      </c>
      <c r="BB20" s="93">
        <f t="shared" si="9"/>
        <v>0</v>
      </c>
      <c r="BC20" s="101">
        <f t="shared" si="10"/>
        <v>0</v>
      </c>
      <c r="BD20" s="92">
        <f t="shared" si="35"/>
        <v>0.81683569896205765</v>
      </c>
      <c r="BE20" s="93">
        <f t="shared" si="36"/>
        <v>37.316147715018708</v>
      </c>
      <c r="BF20" s="189">
        <f t="shared" si="37"/>
        <v>18.46528004341636</v>
      </c>
      <c r="BG20" s="189">
        <f t="shared" si="38"/>
        <v>6.9493449928367514</v>
      </c>
      <c r="BH20" s="189">
        <f t="shared" si="39"/>
        <v>0</v>
      </c>
      <c r="BI20" s="190">
        <f t="shared" si="40"/>
        <v>0</v>
      </c>
      <c r="BJ20" s="193">
        <f t="shared" si="42"/>
        <v>8.61654736850507E-9</v>
      </c>
      <c r="BK20" s="194">
        <f t="shared" si="43"/>
        <v>0.16436855488535801</v>
      </c>
    </row>
    <row r="21" spans="2:63" x14ac:dyDescent="0.25">
      <c r="B21" s="224" t="s">
        <v>20</v>
      </c>
      <c r="C21" s="24">
        <v>10</v>
      </c>
      <c r="D21" s="13" t="s">
        <v>21</v>
      </c>
      <c r="G21" s="181">
        <f t="shared" si="13"/>
        <v>5.5884371247212217</v>
      </c>
      <c r="H21" s="17">
        <v>14</v>
      </c>
      <c r="I21" s="17">
        <v>195</v>
      </c>
      <c r="J21" s="40">
        <v>11658</v>
      </c>
      <c r="K21" s="41">
        <v>10</v>
      </c>
      <c r="L21" s="41">
        <v>5</v>
      </c>
      <c r="M21" s="41">
        <v>4</v>
      </c>
      <c r="N21" s="41">
        <v>2</v>
      </c>
      <c r="O21" s="41">
        <v>65150</v>
      </c>
      <c r="P21" s="41">
        <v>0</v>
      </c>
      <c r="Q21" s="41">
        <v>0</v>
      </c>
      <c r="R21" s="41">
        <v>0</v>
      </c>
      <c r="S21" s="41">
        <v>0</v>
      </c>
      <c r="T21" s="42">
        <v>0</v>
      </c>
      <c r="U21" s="32">
        <f t="shared" si="8"/>
        <v>1.7425884825296546E-6</v>
      </c>
      <c r="V21" s="163">
        <f t="shared" si="4"/>
        <v>1.5718070261740072E-9</v>
      </c>
      <c r="W21" s="163">
        <f t="shared" si="14"/>
        <v>7.3975251647014964E-10</v>
      </c>
      <c r="X21" s="163">
        <f t="shared" si="6"/>
        <v>6.2230727158725995E-10</v>
      </c>
      <c r="Y21" s="163">
        <f t="shared" si="7"/>
        <v>4.0956359942796825E-10</v>
      </c>
      <c r="Z21" s="163">
        <f t="shared" si="15"/>
        <v>0</v>
      </c>
      <c r="AA21" s="163">
        <f t="shared" si="16"/>
        <v>0</v>
      </c>
      <c r="AB21" s="163">
        <f t="shared" si="17"/>
        <v>0</v>
      </c>
      <c r="AC21" s="163">
        <f t="shared" si="2"/>
        <v>0</v>
      </c>
      <c r="AD21" s="33">
        <f t="shared" si="3"/>
        <v>0</v>
      </c>
      <c r="AE21" s="204">
        <f>(('Branco 4'!$P$10-U21)/('Branco 4'!$P$10))*100</f>
        <v>1.6998886977638288</v>
      </c>
      <c r="AF21" s="38"/>
      <c r="AG21" s="39">
        <f t="shared" si="18"/>
        <v>47.011806190207629</v>
      </c>
      <c r="AH21" s="39">
        <f t="shared" si="19"/>
        <v>28.411829177055246</v>
      </c>
      <c r="AI21" s="39">
        <f t="shared" si="20"/>
        <v>18.612837552857712</v>
      </c>
      <c r="AJ21" s="39">
        <f t="shared" si="21"/>
        <v>12.249801812973905</v>
      </c>
      <c r="AK21" s="39">
        <f t="shared" si="22"/>
        <v>0</v>
      </c>
      <c r="AL21" s="39">
        <f t="shared" si="23"/>
        <v>0</v>
      </c>
      <c r="AM21" s="39">
        <f t="shared" si="24"/>
        <v>0</v>
      </c>
      <c r="AN21" s="38">
        <f t="shared" si="25"/>
        <v>0</v>
      </c>
      <c r="AO21" s="38">
        <f t="shared" si="26"/>
        <v>60.07591345318226</v>
      </c>
      <c r="AP21" s="38">
        <f t="shared" si="27"/>
        <v>18.849348728857937</v>
      </c>
      <c r="AQ21" s="39">
        <f t="shared" si="28"/>
        <v>15.856771714173275</v>
      </c>
      <c r="AR21" s="39">
        <f t="shared" si="29"/>
        <v>0</v>
      </c>
      <c r="AS21" s="38">
        <f t="shared" si="30"/>
        <v>0</v>
      </c>
      <c r="AT21" s="38">
        <f t="shared" si="31"/>
        <v>5.2179661037865293</v>
      </c>
      <c r="AU21" s="151">
        <f t="shared" si="32"/>
        <v>59.143356051549091</v>
      </c>
      <c r="AV21" s="151">
        <f>(((U21*3)+(V21*3)+(2*W21)+(2*X21)+(Y21)+(Z21)+(AB21)))/(('Branco 4'!$P$10*3))*100</f>
        <v>98.447701669388806</v>
      </c>
      <c r="AW21" s="151">
        <f t="shared" si="33"/>
        <v>1.0053712249985025</v>
      </c>
      <c r="AX21" s="186">
        <f t="shared" si="34"/>
        <v>2.0333559015085701E-2</v>
      </c>
      <c r="AY21" s="23">
        <f t="shared" si="9"/>
        <v>1.1721626445303255</v>
      </c>
      <c r="AZ21" s="23">
        <f t="shared" si="9"/>
        <v>0.76789399064070762</v>
      </c>
      <c r="BA21" s="23">
        <f t="shared" si="9"/>
        <v>0.50537964305598737</v>
      </c>
      <c r="BB21" s="23">
        <f t="shared" si="9"/>
        <v>0</v>
      </c>
      <c r="BC21" s="151">
        <f t="shared" si="10"/>
        <v>0</v>
      </c>
      <c r="BD21" s="39">
        <f t="shared" si="35"/>
        <v>0.87027632584566794</v>
      </c>
      <c r="BE21" s="23">
        <f t="shared" si="36"/>
        <v>35.246930721026885</v>
      </c>
      <c r="BF21" s="3">
        <f t="shared" si="37"/>
        <v>21.53942643747185</v>
      </c>
      <c r="BG21" s="3">
        <f t="shared" si="38"/>
        <v>8.1062894746180376</v>
      </c>
      <c r="BH21" s="3">
        <f t="shared" si="39"/>
        <v>0</v>
      </c>
      <c r="BI21" s="121">
        <f t="shared" si="40"/>
        <v>0</v>
      </c>
      <c r="BJ21" s="193">
        <f t="shared" si="42"/>
        <v>7.8491042540648092E-9</v>
      </c>
      <c r="BK21" s="194">
        <f t="shared" si="43"/>
        <v>0.14991753453855355</v>
      </c>
    </row>
    <row r="22" spans="2:63" x14ac:dyDescent="0.25">
      <c r="B22" s="229"/>
      <c r="C22" s="23">
        <f>(C21/1000)*60</f>
        <v>0.6</v>
      </c>
      <c r="D22" s="14" t="s">
        <v>22</v>
      </c>
      <c r="G22" s="181">
        <f t="shared" si="13"/>
        <v>5.6070169404076013</v>
      </c>
      <c r="H22" s="17">
        <v>15</v>
      </c>
      <c r="I22" s="17">
        <v>210</v>
      </c>
      <c r="J22" s="40">
        <v>11629</v>
      </c>
      <c r="K22" s="41">
        <v>10</v>
      </c>
      <c r="L22" s="41">
        <v>4</v>
      </c>
      <c r="M22" s="41">
        <v>4</v>
      </c>
      <c r="N22" s="41">
        <v>2</v>
      </c>
      <c r="O22" s="41">
        <v>65204</v>
      </c>
      <c r="P22" s="41">
        <v>0</v>
      </c>
      <c r="Q22" s="41">
        <v>0</v>
      </c>
      <c r="R22" s="41">
        <v>0</v>
      </c>
      <c r="S22" s="41">
        <v>0</v>
      </c>
      <c r="T22" s="42">
        <v>0</v>
      </c>
      <c r="U22" s="32">
        <f t="shared" si="8"/>
        <v>1.7382536853094315E-6</v>
      </c>
      <c r="V22" s="163">
        <f t="shared" si="4"/>
        <v>1.5718070261740072E-9</v>
      </c>
      <c r="W22" s="163">
        <f t="shared" si="14"/>
        <v>5.9180201317611974E-10</v>
      </c>
      <c r="X22" s="163">
        <f t="shared" si="6"/>
        <v>6.2230727158725995E-10</v>
      </c>
      <c r="Y22" s="163">
        <f t="shared" si="7"/>
        <v>4.0956359942796825E-10</v>
      </c>
      <c r="Z22" s="163">
        <f t="shared" si="15"/>
        <v>0</v>
      </c>
      <c r="AA22" s="163">
        <f t="shared" si="16"/>
        <v>0</v>
      </c>
      <c r="AB22" s="163">
        <f t="shared" si="17"/>
        <v>0</v>
      </c>
      <c r="AC22" s="163">
        <f t="shared" si="2"/>
        <v>0</v>
      </c>
      <c r="AD22" s="33">
        <f t="shared" si="3"/>
        <v>0</v>
      </c>
      <c r="AE22" s="204">
        <f>(('Branco 4'!$P$10-U22)/('Branco 4'!$P$10))*100</f>
        <v>1.9444163378191461</v>
      </c>
      <c r="AF22" s="38"/>
      <c r="AG22" s="39">
        <f t="shared" si="18"/>
        <v>49.188449630850435</v>
      </c>
      <c r="AH22" s="39">
        <f t="shared" si="19"/>
        <v>22.729463341644195</v>
      </c>
      <c r="AI22" s="39">
        <f t="shared" si="20"/>
        <v>19.474610670173437</v>
      </c>
      <c r="AJ22" s="39">
        <f t="shared" si="21"/>
        <v>12.816966806752381</v>
      </c>
      <c r="AK22" s="39">
        <f t="shared" si="22"/>
        <v>0</v>
      </c>
      <c r="AL22" s="39">
        <f t="shared" si="23"/>
        <v>0</v>
      </c>
      <c r="AM22" s="39">
        <f t="shared" si="24"/>
        <v>0</v>
      </c>
      <c r="AN22" s="38">
        <f t="shared" si="25"/>
        <v>0</v>
      </c>
      <c r="AO22" s="38">
        <f t="shared" si="26"/>
        <v>62.429421319984634</v>
      </c>
      <c r="AP22" s="38">
        <f t="shared" si="27"/>
        <v>15.670226095764583</v>
      </c>
      <c r="AQ22" s="39">
        <f t="shared" si="28"/>
        <v>16.477969708948326</v>
      </c>
      <c r="AR22" s="39">
        <f t="shared" si="29"/>
        <v>0</v>
      </c>
      <c r="AS22" s="38">
        <f t="shared" si="30"/>
        <v>0</v>
      </c>
      <c r="AT22" s="38">
        <f t="shared" si="31"/>
        <v>5.4223828753024561</v>
      </c>
      <c r="AU22" s="151">
        <f t="shared" si="32"/>
        <v>61.304199713468755</v>
      </c>
      <c r="AV22" s="151">
        <f>(((U22*3)+(V22*3)+(2*W22)+(2*X22)+(Y22)+(Z22)+(AB22)))/(('Branco 4'!$P$10*3))*100</f>
        <v>98.197610064734519</v>
      </c>
      <c r="AW22" s="151">
        <f t="shared" si="33"/>
        <v>1.1920088749979647</v>
      </c>
      <c r="AX22" s="186">
        <f t="shared" si="34"/>
        <v>2.410829174697449E-2</v>
      </c>
      <c r="AY22" s="23">
        <f t="shared" si="9"/>
        <v>1.0726218485265622</v>
      </c>
      <c r="AZ22" s="23">
        <f t="shared" si="9"/>
        <v>0.91902270556932075</v>
      </c>
      <c r="BA22" s="23">
        <f t="shared" si="9"/>
        <v>0.6048430806359657</v>
      </c>
      <c r="BB22" s="23">
        <f t="shared" si="9"/>
        <v>0</v>
      </c>
      <c r="BC22" s="151">
        <f t="shared" si="10"/>
        <v>0</v>
      </c>
      <c r="BD22" s="39">
        <f t="shared" si="35"/>
        <v>1.0318348867705081</v>
      </c>
      <c r="BE22" s="23">
        <f t="shared" si="36"/>
        <v>32.253738985193728</v>
      </c>
      <c r="BF22" s="3">
        <f t="shared" si="37"/>
        <v>25.778586891219447</v>
      </c>
      <c r="BG22" s="3">
        <f t="shared" si="38"/>
        <v>9.7016830134008885</v>
      </c>
      <c r="BH22" s="3">
        <f t="shared" si="39"/>
        <v>0</v>
      </c>
      <c r="BI22" s="121">
        <f t="shared" si="40"/>
        <v>0</v>
      </c>
      <c r="BJ22" s="193">
        <f t="shared" si="42"/>
        <v>7.5532032474767494E-9</v>
      </c>
      <c r="BK22" s="194">
        <f t="shared" si="43"/>
        <v>0.14463325783593992</v>
      </c>
    </row>
    <row r="23" spans="2:63" ht="18.75" thickBot="1" x14ac:dyDescent="0.4">
      <c r="B23" s="225"/>
      <c r="C23" s="25">
        <f>(1*C22)/(0.082057*298)</f>
        <v>2.4536880690153747E-2</v>
      </c>
      <c r="D23" s="15" t="s">
        <v>23</v>
      </c>
      <c r="G23" s="181">
        <f t="shared" si="13"/>
        <v>5.5729379686434903</v>
      </c>
      <c r="H23" s="17">
        <v>16</v>
      </c>
      <c r="I23" s="17">
        <v>225</v>
      </c>
      <c r="J23" s="40">
        <v>11736</v>
      </c>
      <c r="K23" s="41">
        <v>10</v>
      </c>
      <c r="L23" s="41">
        <v>4</v>
      </c>
      <c r="M23" s="41">
        <v>4</v>
      </c>
      <c r="N23" s="41">
        <v>2</v>
      </c>
      <c r="O23" s="41">
        <v>65404</v>
      </c>
      <c r="P23" s="41">
        <v>0</v>
      </c>
      <c r="Q23" s="41">
        <v>0</v>
      </c>
      <c r="R23" s="41">
        <v>0</v>
      </c>
      <c r="S23" s="41">
        <v>0</v>
      </c>
      <c r="T23" s="42">
        <v>0</v>
      </c>
      <c r="U23" s="32">
        <f t="shared" si="8"/>
        <v>1.7542475922943924E-6</v>
      </c>
      <c r="V23" s="163">
        <f t="shared" si="4"/>
        <v>1.5718070261740072E-9</v>
      </c>
      <c r="W23" s="163">
        <f t="shared" si="14"/>
        <v>5.9180201317611974E-10</v>
      </c>
      <c r="X23" s="163">
        <f t="shared" si="6"/>
        <v>6.2230727158725995E-10</v>
      </c>
      <c r="Y23" s="163">
        <f t="shared" si="7"/>
        <v>4.0956359942796825E-10</v>
      </c>
      <c r="Z23" s="163">
        <f t="shared" si="15"/>
        <v>0</v>
      </c>
      <c r="AA23" s="163">
        <f t="shared" si="16"/>
        <v>0</v>
      </c>
      <c r="AB23" s="163">
        <f t="shared" si="17"/>
        <v>0</v>
      </c>
      <c r="AC23" s="163">
        <f t="shared" si="2"/>
        <v>0</v>
      </c>
      <c r="AD23" s="33">
        <f t="shared" si="3"/>
        <v>0</v>
      </c>
      <c r="AE23" s="204">
        <f>(('Branco 4'!$P$10-U23)/('Branco 4'!$P$10))*100</f>
        <v>1.0421936658909143</v>
      </c>
      <c r="AF23" s="38"/>
      <c r="AG23" s="39">
        <f t="shared" si="18"/>
        <v>49.188449630850435</v>
      </c>
      <c r="AH23" s="39">
        <f t="shared" si="19"/>
        <v>22.729463341644195</v>
      </c>
      <c r="AI23" s="39">
        <f t="shared" si="20"/>
        <v>19.474610670173437</v>
      </c>
      <c r="AJ23" s="39">
        <f t="shared" si="21"/>
        <v>12.816966806752381</v>
      </c>
      <c r="AK23" s="39">
        <f t="shared" si="22"/>
        <v>0</v>
      </c>
      <c r="AL23" s="39">
        <f t="shared" si="23"/>
        <v>0</v>
      </c>
      <c r="AM23" s="39">
        <f t="shared" si="24"/>
        <v>0</v>
      </c>
      <c r="AN23" s="38">
        <f t="shared" si="25"/>
        <v>0</v>
      </c>
      <c r="AO23" s="38">
        <f t="shared" si="26"/>
        <v>62.429421319984634</v>
      </c>
      <c r="AP23" s="38">
        <f t="shared" si="27"/>
        <v>15.670226095764583</v>
      </c>
      <c r="AQ23" s="39">
        <f t="shared" si="28"/>
        <v>16.477969708948326</v>
      </c>
      <c r="AR23" s="39">
        <f t="shared" si="29"/>
        <v>0</v>
      </c>
      <c r="AS23" s="38">
        <f t="shared" si="30"/>
        <v>0</v>
      </c>
      <c r="AT23" s="38">
        <f t="shared" si="31"/>
        <v>5.4223828753024561</v>
      </c>
      <c r="AU23" s="151">
        <f t="shared" si="32"/>
        <v>61.867452106571257</v>
      </c>
      <c r="AV23" s="151">
        <f>(((U23*3)+(V23*3)+(2*W23)+(2*X23)+(Y23)+(Z23)+(AB23)))/(('Branco 4'!$P$10*3))*100</f>
        <v>99.099832736662762</v>
      </c>
      <c r="AW23" s="151">
        <f t="shared" si="33"/>
        <v>0.64477866710278064</v>
      </c>
      <c r="AX23" s="186">
        <f t="shared" si="34"/>
        <v>1.3040601076703998E-2</v>
      </c>
      <c r="AY23" s="23">
        <f t="shared" si="9"/>
        <v>0.57491786850772852</v>
      </c>
      <c r="AZ23" s="23">
        <f t="shared" si="9"/>
        <v>0.49258979361824495</v>
      </c>
      <c r="BA23" s="23">
        <f t="shared" si="9"/>
        <v>0.32419169456463515</v>
      </c>
      <c r="BB23" s="23">
        <f t="shared" si="9"/>
        <v>0</v>
      </c>
      <c r="BC23" s="151">
        <f t="shared" si="10"/>
        <v>0</v>
      </c>
      <c r="BD23" s="39">
        <f t="shared" si="35"/>
        <v>0.55813772608293111</v>
      </c>
      <c r="BE23" s="23">
        <f t="shared" si="36"/>
        <v>17.287780306027397</v>
      </c>
      <c r="BF23" s="3">
        <f t="shared" si="37"/>
        <v>13.817143710991772</v>
      </c>
      <c r="BG23" s="3">
        <f t="shared" si="38"/>
        <v>5.2000347808167477</v>
      </c>
      <c r="BH23" s="3">
        <f t="shared" si="39"/>
        <v>0</v>
      </c>
      <c r="BI23" s="121">
        <f t="shared" si="40"/>
        <v>0</v>
      </c>
      <c r="BJ23" s="193">
        <f t="shared" si="42"/>
        <v>7.5532032474767494E-9</v>
      </c>
      <c r="BK23" s="194">
        <f t="shared" si="43"/>
        <v>0.14331649068577548</v>
      </c>
    </row>
    <row r="24" spans="2:63" x14ac:dyDescent="0.25">
      <c r="B24" s="224" t="s">
        <v>83</v>
      </c>
      <c r="C24" s="24">
        <v>20</v>
      </c>
      <c r="D24" s="13" t="s">
        <v>21</v>
      </c>
      <c r="G24" s="181">
        <f t="shared" si="13"/>
        <v>5.5989240884638374</v>
      </c>
      <c r="H24" s="84">
        <v>17</v>
      </c>
      <c r="I24" s="84">
        <v>240</v>
      </c>
      <c r="J24" s="85">
        <v>11711</v>
      </c>
      <c r="K24" s="86">
        <v>11</v>
      </c>
      <c r="L24" s="86">
        <v>4</v>
      </c>
      <c r="M24" s="86">
        <v>4</v>
      </c>
      <c r="N24" s="86">
        <v>2</v>
      </c>
      <c r="O24" s="86">
        <v>65569</v>
      </c>
      <c r="P24" s="86">
        <v>0</v>
      </c>
      <c r="Q24" s="86">
        <v>0</v>
      </c>
      <c r="R24" s="86">
        <v>0</v>
      </c>
      <c r="S24" s="86">
        <v>0</v>
      </c>
      <c r="T24" s="87">
        <v>0</v>
      </c>
      <c r="U24" s="88">
        <f t="shared" si="8"/>
        <v>1.7505106981390276E-6</v>
      </c>
      <c r="V24" s="164">
        <f t="shared" si="4"/>
        <v>1.7289877287914077E-9</v>
      </c>
      <c r="W24" s="164">
        <f t="shared" si="14"/>
        <v>5.9180201317611974E-10</v>
      </c>
      <c r="X24" s="164">
        <f t="shared" si="6"/>
        <v>6.2230727158725995E-10</v>
      </c>
      <c r="Y24" s="164">
        <f t="shared" si="7"/>
        <v>4.0956359942796825E-10</v>
      </c>
      <c r="Z24" s="163">
        <f t="shared" si="15"/>
        <v>0</v>
      </c>
      <c r="AA24" s="164">
        <f t="shared" si="16"/>
        <v>0</v>
      </c>
      <c r="AB24" s="163">
        <f t="shared" si="17"/>
        <v>0</v>
      </c>
      <c r="AC24" s="164">
        <f t="shared" si="2"/>
        <v>0</v>
      </c>
      <c r="AD24" s="89">
        <f t="shared" si="3"/>
        <v>0</v>
      </c>
      <c r="AE24" s="204">
        <f>(('Branco 4'!$P$10-U24)/('Branco 4'!$P$10))*100</f>
        <v>1.2529933555937758</v>
      </c>
      <c r="AF24" s="91"/>
      <c r="AG24" s="92">
        <f t="shared" si="18"/>
        <v>51.570615948901022</v>
      </c>
      <c r="AH24" s="92">
        <f t="shared" si="19"/>
        <v>21.435433644358614</v>
      </c>
      <c r="AI24" s="92">
        <f t="shared" si="20"/>
        <v>18.561594608695358</v>
      </c>
      <c r="AJ24" s="92">
        <f t="shared" si="21"/>
        <v>12.216076922369799</v>
      </c>
      <c r="AK24" s="92">
        <f t="shared" si="22"/>
        <v>0</v>
      </c>
      <c r="AL24" s="92">
        <f t="shared" si="23"/>
        <v>0</v>
      </c>
      <c r="AM24" s="92">
        <f t="shared" si="24"/>
        <v>0</v>
      </c>
      <c r="AN24" s="91">
        <f t="shared" si="25"/>
        <v>0</v>
      </c>
      <c r="AO24" s="91">
        <f t="shared" si="26"/>
        <v>64.637106309295461</v>
      </c>
      <c r="AP24" s="91">
        <f t="shared" si="27"/>
        <v>14.749427850271282</v>
      </c>
      <c r="AQ24" s="92">
        <f t="shared" si="28"/>
        <v>15.509707636367743</v>
      </c>
      <c r="AR24" s="92">
        <f t="shared" si="29"/>
        <v>0</v>
      </c>
      <c r="AS24" s="91">
        <f t="shared" si="30"/>
        <v>0</v>
      </c>
      <c r="AT24" s="91">
        <f t="shared" si="31"/>
        <v>5.1037582040655218</v>
      </c>
      <c r="AU24" s="151">
        <f t="shared" si="32"/>
        <v>63.924740549351334</v>
      </c>
      <c r="AV24" s="151">
        <f>(((U24*3)+(V24*3)+(2*W24)+(2*X24)+(Y24)+(Z24)+(AB24)))/(('Branco 4'!$P$10*3))*100</f>
        <v>98.897899673083472</v>
      </c>
      <c r="AW24" s="151">
        <f t="shared" si="33"/>
        <v>0.80097275166393234</v>
      </c>
      <c r="AX24" s="191">
        <f t="shared" si="34"/>
        <v>1.6199614938709243E-2</v>
      </c>
      <c r="AY24" s="93">
        <f t="shared" si="9"/>
        <v>0.65185235281125187</v>
      </c>
      <c r="AZ24" s="93">
        <f t="shared" si="9"/>
        <v>0.5644587983780327</v>
      </c>
      <c r="BA24" s="93">
        <f t="shared" si="9"/>
        <v>0.37149136406977784</v>
      </c>
      <c r="BB24" s="93">
        <f t="shared" si="9"/>
        <v>0</v>
      </c>
      <c r="BC24" s="101">
        <f t="shared" si="10"/>
        <v>0</v>
      </c>
      <c r="BD24" s="92">
        <f t="shared" si="35"/>
        <v>0.69334351937675553</v>
      </c>
      <c r="BE24" s="93">
        <f t="shared" si="36"/>
        <v>19.601200249034346</v>
      </c>
      <c r="BF24" s="189">
        <f t="shared" si="37"/>
        <v>15.833069294503817</v>
      </c>
      <c r="BG24" s="189">
        <f t="shared" si="38"/>
        <v>5.9587214796792365</v>
      </c>
      <c r="BH24" s="189">
        <f t="shared" si="39"/>
        <v>0</v>
      </c>
      <c r="BI24" s="190">
        <f t="shared" si="40"/>
        <v>0</v>
      </c>
      <c r="BJ24" s="193">
        <f t="shared" si="42"/>
        <v>8.0247453553289504E-9</v>
      </c>
      <c r="BK24" s="194">
        <f t="shared" si="43"/>
        <v>0.15257455332826467</v>
      </c>
    </row>
    <row r="25" spans="2:63" x14ac:dyDescent="0.25">
      <c r="B25" s="229"/>
      <c r="C25" s="23">
        <f>(C24/1000)*60</f>
        <v>1.2</v>
      </c>
      <c r="D25" s="14" t="s">
        <v>22</v>
      </c>
      <c r="G25" s="181">
        <f t="shared" si="13"/>
        <v>5.6059441455290804</v>
      </c>
      <c r="H25" s="17">
        <v>18</v>
      </c>
      <c r="I25" s="17">
        <v>255</v>
      </c>
      <c r="J25" s="40">
        <v>11709</v>
      </c>
      <c r="K25" s="41">
        <v>11</v>
      </c>
      <c r="L25" s="41">
        <v>4</v>
      </c>
      <c r="M25" s="41">
        <v>4</v>
      </c>
      <c r="N25" s="41">
        <v>2</v>
      </c>
      <c r="O25" s="41">
        <v>65640</v>
      </c>
      <c r="P25" s="41">
        <v>0</v>
      </c>
      <c r="Q25" s="41">
        <v>0</v>
      </c>
      <c r="R25" s="41">
        <v>0</v>
      </c>
      <c r="S25" s="41">
        <v>0</v>
      </c>
      <c r="T25" s="42">
        <v>0</v>
      </c>
      <c r="U25" s="32">
        <f t="shared" si="8"/>
        <v>1.7502117466065984E-6</v>
      </c>
      <c r="V25" s="163">
        <f t="shared" si="4"/>
        <v>1.7289877287914077E-9</v>
      </c>
      <c r="W25" s="163">
        <f t="shared" si="14"/>
        <v>5.9180201317611974E-10</v>
      </c>
      <c r="X25" s="163">
        <f t="shared" si="6"/>
        <v>6.2230727158725995E-10</v>
      </c>
      <c r="Y25" s="163">
        <f t="shared" si="7"/>
        <v>4.0956359942796825E-10</v>
      </c>
      <c r="Z25" s="163">
        <f t="shared" si="15"/>
        <v>0</v>
      </c>
      <c r="AA25" s="163">
        <f t="shared" si="16"/>
        <v>0</v>
      </c>
      <c r="AB25" s="163">
        <f t="shared" si="17"/>
        <v>0</v>
      </c>
      <c r="AC25" s="163">
        <f t="shared" si="2"/>
        <v>0</v>
      </c>
      <c r="AD25" s="33">
        <f t="shared" si="3"/>
        <v>0</v>
      </c>
      <c r="AE25" s="204">
        <f>(('Branco 4'!$P$10-U25)/('Branco 4'!$P$10))*100</f>
        <v>1.2698573307700038</v>
      </c>
      <c r="AF25" s="38"/>
      <c r="AG25" s="39">
        <f t="shared" si="18"/>
        <v>51.570615948901022</v>
      </c>
      <c r="AH25" s="39">
        <f t="shared" si="19"/>
        <v>21.435433644358614</v>
      </c>
      <c r="AI25" s="39">
        <f t="shared" si="20"/>
        <v>18.561594608695358</v>
      </c>
      <c r="AJ25" s="39">
        <f t="shared" si="21"/>
        <v>12.216076922369799</v>
      </c>
      <c r="AK25" s="39">
        <f t="shared" si="22"/>
        <v>0</v>
      </c>
      <c r="AL25" s="39">
        <f t="shared" si="23"/>
        <v>0</v>
      </c>
      <c r="AM25" s="39">
        <f t="shared" si="24"/>
        <v>0</v>
      </c>
      <c r="AN25" s="38">
        <f t="shared" si="25"/>
        <v>0</v>
      </c>
      <c r="AO25" s="38">
        <f t="shared" si="26"/>
        <v>64.637106309295461</v>
      </c>
      <c r="AP25" s="38">
        <f t="shared" si="27"/>
        <v>14.749427850271282</v>
      </c>
      <c r="AQ25" s="39">
        <f t="shared" si="28"/>
        <v>15.509707636367743</v>
      </c>
      <c r="AR25" s="39">
        <f t="shared" si="29"/>
        <v>0</v>
      </c>
      <c r="AS25" s="38">
        <f t="shared" si="30"/>
        <v>0</v>
      </c>
      <c r="AT25" s="38">
        <f t="shared" si="31"/>
        <v>5.1037582040655218</v>
      </c>
      <c r="AU25" s="151">
        <f t="shared" si="32"/>
        <v>63.91384016378872</v>
      </c>
      <c r="AV25" s="151">
        <f>(((U25*3)+(V25*3)+(2*W25)+(2*X25)+(Y25)+(Z25)+(AB25)))/(('Branco 4'!$P$10*3))*100</f>
        <v>98.881035697907265</v>
      </c>
      <c r="AW25" s="151">
        <f t="shared" si="33"/>
        <v>0.81161458469649406</v>
      </c>
      <c r="AX25" s="186">
        <f t="shared" si="34"/>
        <v>1.6414845228393142E-2</v>
      </c>
      <c r="AY25" s="23">
        <f t="shared" si="9"/>
        <v>0.66062560116671953</v>
      </c>
      <c r="AZ25" s="23">
        <f t="shared" si="9"/>
        <v>0.57205582123641796</v>
      </c>
      <c r="BA25" s="23">
        <f t="shared" si="9"/>
        <v>0.37649124783922294</v>
      </c>
      <c r="BB25" s="23">
        <f t="shared" si="9"/>
        <v>0</v>
      </c>
      <c r="BC25" s="151">
        <f t="shared" si="10"/>
        <v>0</v>
      </c>
      <c r="BD25" s="39">
        <f t="shared" si="35"/>
        <v>0.70255537577522642</v>
      </c>
      <c r="BE25" s="23">
        <f t="shared" si="36"/>
        <v>19.865011827083258</v>
      </c>
      <c r="BF25" s="3">
        <f t="shared" si="37"/>
        <v>16.046165785681524</v>
      </c>
      <c r="BG25" s="3">
        <f t="shared" si="38"/>
        <v>6.0389196153411353</v>
      </c>
      <c r="BH25" s="3">
        <f t="shared" si="39"/>
        <v>0</v>
      </c>
      <c r="BI25" s="121">
        <f t="shared" si="40"/>
        <v>0</v>
      </c>
      <c r="BJ25" s="193">
        <f t="shared" si="42"/>
        <v>8.0247453553289504E-9</v>
      </c>
      <c r="BK25" s="194">
        <f t="shared" si="43"/>
        <v>0.15260057463216478</v>
      </c>
    </row>
    <row r="26" spans="2:63" ht="18.75" thickBot="1" x14ac:dyDescent="0.4">
      <c r="B26" s="225"/>
      <c r="C26" s="25">
        <f>(1*C25)/(0.082057*298)</f>
        <v>4.9073761380307494E-2</v>
      </c>
      <c r="D26" s="15" t="s">
        <v>24</v>
      </c>
      <c r="G26" s="181">
        <f t="shared" si="13"/>
        <v>5.5746332309791882</v>
      </c>
      <c r="H26" s="17">
        <v>19</v>
      </c>
      <c r="I26" s="17">
        <v>270</v>
      </c>
      <c r="J26" s="40">
        <v>11724</v>
      </c>
      <c r="K26" s="41">
        <v>11</v>
      </c>
      <c r="L26" s="41">
        <v>5</v>
      </c>
      <c r="M26" s="41">
        <v>4</v>
      </c>
      <c r="N26" s="41">
        <v>2</v>
      </c>
      <c r="O26" s="41">
        <v>65357</v>
      </c>
      <c r="P26" s="41">
        <v>0</v>
      </c>
      <c r="Q26" s="41">
        <v>0</v>
      </c>
      <c r="R26" s="41">
        <v>0</v>
      </c>
      <c r="S26" s="41">
        <v>0</v>
      </c>
      <c r="T26" s="42">
        <v>0</v>
      </c>
      <c r="U26" s="32">
        <f t="shared" si="8"/>
        <v>1.7524538830998174E-6</v>
      </c>
      <c r="V26" s="163">
        <f>K25*$D$10</f>
        <v>1.7289877287914077E-9</v>
      </c>
      <c r="W26" s="163">
        <f>(L25)*$D$11</f>
        <v>5.9180201317611974E-10</v>
      </c>
      <c r="X26" s="163">
        <f t="shared" si="6"/>
        <v>6.2230727158725995E-10</v>
      </c>
      <c r="Y26" s="163">
        <f t="shared" si="7"/>
        <v>4.0956359942796825E-10</v>
      </c>
      <c r="Z26" s="163">
        <f t="shared" si="15"/>
        <v>0</v>
      </c>
      <c r="AA26" s="163">
        <f t="shared" si="16"/>
        <v>0</v>
      </c>
      <c r="AB26" s="163">
        <f t="shared" si="17"/>
        <v>0</v>
      </c>
      <c r="AC26" s="163">
        <f t="shared" si="2"/>
        <v>0</v>
      </c>
      <c r="AD26" s="33">
        <f t="shared" si="3"/>
        <v>0</v>
      </c>
      <c r="AE26" s="204">
        <f>(('Branco 4'!$P$10-U26)/('Branco 4'!$P$10))*100</f>
        <v>1.143377516948282</v>
      </c>
      <c r="AF26" s="38"/>
      <c r="AG26" s="39">
        <f t="shared" si="18"/>
        <v>51.570615948901022</v>
      </c>
      <c r="AH26" s="39">
        <f t="shared" si="19"/>
        <v>21.435433644358614</v>
      </c>
      <c r="AI26" s="39">
        <f t="shared" si="20"/>
        <v>18.561594608695358</v>
      </c>
      <c r="AJ26" s="39">
        <f t="shared" si="21"/>
        <v>12.216076922369799</v>
      </c>
      <c r="AK26" s="39">
        <f t="shared" si="22"/>
        <v>0</v>
      </c>
      <c r="AL26" s="39">
        <f t="shared" si="23"/>
        <v>0</v>
      </c>
      <c r="AM26" s="39">
        <f t="shared" si="24"/>
        <v>0</v>
      </c>
      <c r="AN26" s="38">
        <f t="shared" ref="AN26:AN32" si="44">(AD26/SUM(V26,X26,Y26,Z26,AB26,AD26))*100</f>
        <v>0</v>
      </c>
      <c r="AO26" s="38">
        <f t="shared" si="26"/>
        <v>64.637106309295461</v>
      </c>
      <c r="AP26" s="38">
        <f t="shared" si="27"/>
        <v>14.749427850271282</v>
      </c>
      <c r="AQ26" s="39">
        <f t="shared" si="28"/>
        <v>15.509707636367743</v>
      </c>
      <c r="AR26" s="39">
        <f t="shared" si="29"/>
        <v>0</v>
      </c>
      <c r="AS26" s="38">
        <f t="shared" si="30"/>
        <v>0</v>
      </c>
      <c r="AT26" s="38">
        <f t="shared" si="31"/>
        <v>5.1037582040655218</v>
      </c>
      <c r="AU26" s="151">
        <f t="shared" si="32"/>
        <v>63.995593055508451</v>
      </c>
      <c r="AV26" s="151">
        <f>(((U26*3)+(V26*3)+(2*W26)+(2*X26)+(Y26)+(Z26)+(AB26)))/(('Branco 4'!$P$10*3))*100</f>
        <v>99.007515511728982</v>
      </c>
      <c r="AW26" s="151">
        <f t="shared" si="33"/>
        <v>0.73171122283439971</v>
      </c>
      <c r="AX26" s="186">
        <f t="shared" si="34"/>
        <v>1.4798805616826713E-2</v>
      </c>
      <c r="AY26" s="23">
        <f t="shared" si="9"/>
        <v>0.59482623850070715</v>
      </c>
      <c r="AZ26" s="23">
        <f t="shared" si="9"/>
        <v>0.51507814979852395</v>
      </c>
      <c r="BA26" s="23">
        <f t="shared" si="9"/>
        <v>0.33899211956838149</v>
      </c>
      <c r="BB26" s="23">
        <f t="shared" si="9"/>
        <v>0</v>
      </c>
      <c r="BC26" s="151">
        <f t="shared" si="10"/>
        <v>0</v>
      </c>
      <c r="BD26" s="39">
        <f t="shared" si="35"/>
        <v>0.63338888040018326</v>
      </c>
      <c r="BE26" s="23">
        <f t="shared" si="36"/>
        <v>17.886424991716265</v>
      </c>
      <c r="BF26" s="3">
        <f t="shared" si="37"/>
        <v>14.447942101848597</v>
      </c>
      <c r="BG26" s="3">
        <f t="shared" si="38"/>
        <v>5.4374335978768391</v>
      </c>
      <c r="BH26" s="3">
        <f t="shared" si="39"/>
        <v>0</v>
      </c>
      <c r="BI26" s="121">
        <f t="shared" si="40"/>
        <v>0</v>
      </c>
      <c r="BJ26" s="193">
        <f t="shared" si="42"/>
        <v>8.0247453553289504E-9</v>
      </c>
      <c r="BK26" s="194">
        <f t="shared" si="43"/>
        <v>0.15240563092340886</v>
      </c>
    </row>
    <row r="27" spans="2:63" ht="15.75" thickBot="1" x14ac:dyDescent="0.3">
      <c r="G27" s="181">
        <f t="shared" si="13"/>
        <v>5.5765619665414814</v>
      </c>
      <c r="H27" s="17">
        <v>20</v>
      </c>
      <c r="I27" s="17">
        <v>285</v>
      </c>
      <c r="J27" s="40">
        <v>11716</v>
      </c>
      <c r="K27" s="41">
        <v>11</v>
      </c>
      <c r="L27" s="41">
        <v>5</v>
      </c>
      <c r="M27" s="41">
        <v>4</v>
      </c>
      <c r="N27" s="41">
        <v>2</v>
      </c>
      <c r="O27" s="41">
        <v>65335</v>
      </c>
      <c r="P27" s="41">
        <v>0</v>
      </c>
      <c r="Q27" s="41">
        <v>0</v>
      </c>
      <c r="R27" s="41">
        <v>0</v>
      </c>
      <c r="S27" s="41">
        <v>0</v>
      </c>
      <c r="T27" s="42">
        <v>0</v>
      </c>
      <c r="U27" s="32">
        <f t="shared" si="8"/>
        <v>1.7512580769701007E-6</v>
      </c>
      <c r="V27" s="163">
        <f t="shared" si="4"/>
        <v>1.7289877287914077E-9</v>
      </c>
      <c r="W27" s="163">
        <f t="shared" si="14"/>
        <v>7.3975251647014964E-10</v>
      </c>
      <c r="X27" s="163">
        <f t="shared" si="6"/>
        <v>6.2230727158725995E-10</v>
      </c>
      <c r="Y27" s="163">
        <f t="shared" si="7"/>
        <v>4.0956359942796825E-10</v>
      </c>
      <c r="Z27" s="163">
        <f t="shared" si="15"/>
        <v>0</v>
      </c>
      <c r="AA27" s="163">
        <f t="shared" si="16"/>
        <v>0</v>
      </c>
      <c r="AB27" s="163">
        <f t="shared" si="17"/>
        <v>0</v>
      </c>
      <c r="AC27" s="163">
        <f t="shared" si="2"/>
        <v>0</v>
      </c>
      <c r="AD27" s="33">
        <f t="shared" si="3"/>
        <v>0</v>
      </c>
      <c r="AE27" s="204">
        <f>(('Branco 4'!$P$10-U27)/('Branco 4'!$P$10))*100</f>
        <v>1.2108334176531941</v>
      </c>
      <c r="AF27" s="38"/>
      <c r="AG27" s="39">
        <f t="shared" si="18"/>
        <v>49.391025491295977</v>
      </c>
      <c r="AH27" s="39">
        <f t="shared" si="19"/>
        <v>26.794292055448267</v>
      </c>
      <c r="AI27" s="39">
        <f t="shared" si="20"/>
        <v>17.777103794640851</v>
      </c>
      <c r="AJ27" s="39">
        <f t="shared" si="21"/>
        <v>11.69977429151216</v>
      </c>
      <c r="AK27" s="39">
        <f t="shared" si="22"/>
        <v>0</v>
      </c>
      <c r="AL27" s="39">
        <f t="shared" si="23"/>
        <v>0</v>
      </c>
      <c r="AM27" s="39">
        <f t="shared" si="24"/>
        <v>0</v>
      </c>
      <c r="AN27" s="38">
        <f t="shared" si="44"/>
        <v>0</v>
      </c>
      <c r="AO27" s="38">
        <f t="shared" si="26"/>
        <v>62.338464594704732</v>
      </c>
      <c r="AP27" s="38">
        <f t="shared" si="27"/>
        <v>17.781131039433255</v>
      </c>
      <c r="AQ27" s="39">
        <f t="shared" si="28"/>
        <v>14.958147348636636</v>
      </c>
      <c r="AR27" s="39">
        <f t="shared" si="29"/>
        <v>0</v>
      </c>
      <c r="AS27" s="38">
        <f t="shared" si="30"/>
        <v>0</v>
      </c>
      <c r="AT27" s="38">
        <f t="shared" si="31"/>
        <v>4.9222570172253794</v>
      </c>
      <c r="AU27" s="151">
        <f t="shared" si="32"/>
        <v>61.681182520699586</v>
      </c>
      <c r="AV27" s="151">
        <f>(((U27*3)+(V27*3)+(2*W27)+(2*X27)+(Y27)+(Z27)+(AB27)))/(('Branco 4'!$P$10*3))*100</f>
        <v>98.945623575623031</v>
      </c>
      <c r="AW27" s="151">
        <f t="shared" si="33"/>
        <v>0.74685637036429142</v>
      </c>
      <c r="AX27" s="186">
        <f t="shared" si="34"/>
        <v>1.5105115110707137E-2</v>
      </c>
      <c r="AY27" s="23">
        <f t="shared" si="9"/>
        <v>0.78739903990322135</v>
      </c>
      <c r="AZ27" s="23">
        <f t="shared" si="9"/>
        <v>0.52241255082213955</v>
      </c>
      <c r="BA27" s="23">
        <f t="shared" si="9"/>
        <v>0.34381916212441405</v>
      </c>
      <c r="BB27" s="23">
        <f t="shared" si="9"/>
        <v>0</v>
      </c>
      <c r="BC27" s="151">
        <f t="shared" si="10"/>
        <v>0</v>
      </c>
      <c r="BD27" s="39">
        <f t="shared" si="35"/>
        <v>0.64649892673826537</v>
      </c>
      <c r="BE27" s="23">
        <f t="shared" si="36"/>
        <v>23.677089129889865</v>
      </c>
      <c r="BF27" s="3">
        <f t="shared" si="37"/>
        <v>14.653672050561015</v>
      </c>
      <c r="BG27" s="3">
        <f t="shared" si="38"/>
        <v>5.5148593604756009</v>
      </c>
      <c r="BH27" s="3">
        <f t="shared" si="39"/>
        <v>0</v>
      </c>
      <c r="BI27" s="121">
        <f t="shared" si="40"/>
        <v>0</v>
      </c>
      <c r="BJ27" s="193">
        <f t="shared" si="42"/>
        <v>8.3206463619170102E-9</v>
      </c>
      <c r="BK27" s="194">
        <f t="shared" si="43"/>
        <v>0.15812421774938221</v>
      </c>
    </row>
    <row r="28" spans="2:63" x14ac:dyDescent="0.25">
      <c r="B28" s="230" t="s">
        <v>25</v>
      </c>
      <c r="C28" s="231"/>
      <c r="D28" s="21">
        <f>(1*(0.25/1000))/(0.082057*373)</f>
        <v>8.1679964763916645E-6</v>
      </c>
      <c r="G28" s="181">
        <f t="shared" si="13"/>
        <v>5.626126512745687</v>
      </c>
      <c r="H28" s="84">
        <v>21</v>
      </c>
      <c r="I28" s="84">
        <v>300</v>
      </c>
      <c r="J28" s="85">
        <v>11651</v>
      </c>
      <c r="K28" s="86">
        <v>11</v>
      </c>
      <c r="L28" s="86">
        <v>4</v>
      </c>
      <c r="M28" s="86">
        <v>4</v>
      </c>
      <c r="N28" s="86">
        <v>2</v>
      </c>
      <c r="O28" s="86">
        <v>65550</v>
      </c>
      <c r="P28" s="86">
        <v>0</v>
      </c>
      <c r="Q28" s="86">
        <v>0</v>
      </c>
      <c r="R28" s="86">
        <v>0</v>
      </c>
      <c r="S28" s="86">
        <v>0</v>
      </c>
      <c r="T28" s="87">
        <v>0</v>
      </c>
      <c r="U28" s="88">
        <f t="shared" si="8"/>
        <v>1.7415421521661525E-6</v>
      </c>
      <c r="V28" s="164">
        <f t="shared" si="4"/>
        <v>1.7289877287914077E-9</v>
      </c>
      <c r="W28" s="164">
        <f t="shared" si="14"/>
        <v>5.9180201317611974E-10</v>
      </c>
      <c r="X28" s="164">
        <f t="shared" si="6"/>
        <v>6.2230727158725995E-10</v>
      </c>
      <c r="Y28" s="164">
        <f t="shared" si="7"/>
        <v>4.0956359942796825E-10</v>
      </c>
      <c r="Z28" s="163">
        <f t="shared" si="15"/>
        <v>0</v>
      </c>
      <c r="AA28" s="164">
        <f t="shared" si="16"/>
        <v>0</v>
      </c>
      <c r="AB28" s="163">
        <f t="shared" si="17"/>
        <v>0</v>
      </c>
      <c r="AC28" s="164">
        <f t="shared" si="2"/>
        <v>0</v>
      </c>
      <c r="AD28" s="89">
        <f t="shared" si="3"/>
        <v>0</v>
      </c>
      <c r="AE28" s="204">
        <f>(('Branco 4'!$P$10-U28)/('Branco 4'!$P$10))*100</f>
        <v>1.7589126108806266</v>
      </c>
      <c r="AF28" s="91"/>
      <c r="AG28" s="92">
        <f t="shared" si="18"/>
        <v>51.570615948901022</v>
      </c>
      <c r="AH28" s="92">
        <f t="shared" si="19"/>
        <v>21.435433644358614</v>
      </c>
      <c r="AI28" s="92">
        <f t="shared" si="20"/>
        <v>18.561594608695358</v>
      </c>
      <c r="AJ28" s="92">
        <f t="shared" si="21"/>
        <v>12.216076922369799</v>
      </c>
      <c r="AK28" s="92">
        <f t="shared" si="22"/>
        <v>0</v>
      </c>
      <c r="AL28" s="92">
        <f t="shared" si="23"/>
        <v>0</v>
      </c>
      <c r="AM28" s="92">
        <f t="shared" si="24"/>
        <v>0</v>
      </c>
      <c r="AN28" s="91">
        <f t="shared" si="44"/>
        <v>0</v>
      </c>
      <c r="AO28" s="91">
        <f t="shared" si="26"/>
        <v>64.637106309295461</v>
      </c>
      <c r="AP28" s="91">
        <f t="shared" si="27"/>
        <v>14.749427850271282</v>
      </c>
      <c r="AQ28" s="92">
        <f t="shared" si="28"/>
        <v>15.509707636367743</v>
      </c>
      <c r="AR28" s="92">
        <f t="shared" si="29"/>
        <v>0</v>
      </c>
      <c r="AS28" s="91">
        <f t="shared" si="30"/>
        <v>0</v>
      </c>
      <c r="AT28" s="91">
        <f t="shared" si="31"/>
        <v>5.1037582040655218</v>
      </c>
      <c r="AU28" s="151">
        <f t="shared" si="32"/>
        <v>63.59772898247239</v>
      </c>
      <c r="AV28" s="151">
        <f>(((U28*3)+(V28*3)+(2*W28)+(2*X28)+(Y28)+(Z28)+(AB28)))/(('Branco 4'!$P$10*3))*100</f>
        <v>98.391980417796645</v>
      </c>
      <c r="AW28" s="151">
        <f t="shared" si="33"/>
        <v>1.11862847530639</v>
      </c>
      <c r="AX28" s="191">
        <f t="shared" si="34"/>
        <v>2.2624178565118277E-2</v>
      </c>
      <c r="AY28" s="93">
        <f t="shared" si="9"/>
        <v>0.91504980347528186</v>
      </c>
      <c r="AZ28" s="93">
        <f t="shared" si="9"/>
        <v>0.79236948412959218</v>
      </c>
      <c r="BA28" s="93">
        <f t="shared" si="9"/>
        <v>0.52148787715313261</v>
      </c>
      <c r="BB28" s="93">
        <f t="shared" si="9"/>
        <v>0</v>
      </c>
      <c r="BC28" s="101">
        <f t="shared" si="10"/>
        <v>0</v>
      </c>
      <c r="BD28" s="92">
        <f t="shared" si="35"/>
        <v>0.96831484258706213</v>
      </c>
      <c r="BE28" s="93">
        <f t="shared" si="36"/>
        <v>27.515547590501725</v>
      </c>
      <c r="BF28" s="189">
        <f t="shared" si="37"/>
        <v>22.225964029835062</v>
      </c>
      <c r="BG28" s="189">
        <f t="shared" si="38"/>
        <v>8.3646655495362463</v>
      </c>
      <c r="BH28" s="189">
        <f t="shared" si="39"/>
        <v>0</v>
      </c>
      <c r="BI28" s="190">
        <f t="shared" si="40"/>
        <v>0</v>
      </c>
      <c r="BJ28" s="193">
        <f t="shared" si="42"/>
        <v>8.0247453553289504E-9</v>
      </c>
      <c r="BK28" s="194">
        <f t="shared" si="43"/>
        <v>0.15335907259566625</v>
      </c>
    </row>
    <row r="29" spans="2:63" x14ac:dyDescent="0.25">
      <c r="B29" s="220" t="s">
        <v>28</v>
      </c>
      <c r="C29" s="221"/>
      <c r="D29" s="22">
        <v>1</v>
      </c>
      <c r="H29" s="17"/>
      <c r="I29" s="17"/>
      <c r="J29" s="40"/>
      <c r="K29" s="41"/>
      <c r="L29" s="41"/>
      <c r="M29" s="41"/>
      <c r="N29" s="41"/>
      <c r="O29" s="41"/>
      <c r="P29" s="41"/>
      <c r="Q29" s="41"/>
      <c r="R29" s="41"/>
      <c r="S29" s="41"/>
      <c r="T29" s="42"/>
      <c r="U29" s="32">
        <f t="shared" si="8"/>
        <v>0</v>
      </c>
      <c r="V29" s="163">
        <f t="shared" si="4"/>
        <v>0</v>
      </c>
      <c r="W29" s="163">
        <f t="shared" si="14"/>
        <v>0</v>
      </c>
      <c r="X29" s="163">
        <f t="shared" si="6"/>
        <v>0</v>
      </c>
      <c r="Y29" s="163">
        <f t="shared" si="7"/>
        <v>0</v>
      </c>
      <c r="Z29" s="163">
        <f t="shared" si="15"/>
        <v>0</v>
      </c>
      <c r="AA29" s="163">
        <f t="shared" si="16"/>
        <v>0</v>
      </c>
      <c r="AB29" s="163">
        <f t="shared" si="17"/>
        <v>0</v>
      </c>
      <c r="AC29" s="163">
        <f t="shared" si="2"/>
        <v>0</v>
      </c>
      <c r="AD29" s="33">
        <f t="shared" si="3"/>
        <v>0</v>
      </c>
      <c r="AE29" s="204">
        <f>(('Branco 4'!$P$10-U29)/('Branco 4'!$P$10))*100</f>
        <v>100</v>
      </c>
      <c r="AF29" s="38"/>
      <c r="AG29" s="39" t="e">
        <f t="shared" si="18"/>
        <v>#DIV/0!</v>
      </c>
      <c r="AH29" s="39" t="e">
        <f t="shared" si="19"/>
        <v>#DIV/0!</v>
      </c>
      <c r="AI29" s="39" t="e">
        <f t="shared" si="20"/>
        <v>#DIV/0!</v>
      </c>
      <c r="AJ29" s="39" t="e">
        <f t="shared" si="21"/>
        <v>#DIV/0!</v>
      </c>
      <c r="AK29" s="39" t="e">
        <f t="shared" si="22"/>
        <v>#DIV/0!</v>
      </c>
      <c r="AL29" s="39" t="e">
        <f t="shared" si="23"/>
        <v>#DIV/0!</v>
      </c>
      <c r="AM29" s="39" t="e">
        <f t="shared" si="24"/>
        <v>#DIV/0!</v>
      </c>
      <c r="AN29" s="38" t="e">
        <f t="shared" si="44"/>
        <v>#DIV/0!</v>
      </c>
      <c r="AO29" s="38" t="e">
        <f>(V29/(SUM(V29+(W29*2/3)+(X29*2/3)+(Y29*1/3)+(Z29*1/3)+(AB29*1/3)))*100)</f>
        <v>#DIV/0!</v>
      </c>
      <c r="AP29" s="38" t="e">
        <f t="shared" si="27"/>
        <v>#DIV/0!</v>
      </c>
      <c r="AQ29" s="39" t="e">
        <f t="shared" si="28"/>
        <v>#DIV/0!</v>
      </c>
      <c r="AR29" s="39" t="e">
        <f t="shared" si="29"/>
        <v>#DIV/0!</v>
      </c>
      <c r="AS29" s="38" t="e">
        <f t="shared" si="30"/>
        <v>#DIV/0!</v>
      </c>
      <c r="AT29" s="38" t="e">
        <f t="shared" ref="AT29:AT32" si="45">(Y29/(AVERAGE($U$5:$U$7)-V29))*100*1/3</f>
        <v>#DIV/0!</v>
      </c>
      <c r="AU29" s="151"/>
      <c r="AV29" s="151">
        <f>(((U29*3)+(V29*3)+(2*W29)+(2*X29)+(Y29)+(Z29)+(AB29)))/((Branco3!$P$10*3))*100</f>
        <v>0</v>
      </c>
      <c r="AW29" s="151" t="e">
        <f t="shared" ref="AW29:AW31" si="46">(AO29*AE29)/100</f>
        <v>#DIV/0!</v>
      </c>
      <c r="AX29" s="186" t="e">
        <f t="shared" ref="AX29:AX32" si="47">(((AW29/100)*($C$23)*1000)/$C$5)</f>
        <v>#DIV/0!</v>
      </c>
      <c r="AY29" s="23" t="e">
        <f t="shared" si="9"/>
        <v>#DIV/0!</v>
      </c>
      <c r="AZ29" s="23" t="e">
        <f t="shared" si="9"/>
        <v>#DIV/0!</v>
      </c>
      <c r="BA29" s="23" t="e">
        <f t="shared" si="9"/>
        <v>#DIV/0!</v>
      </c>
      <c r="BB29" s="23" t="e">
        <f t="shared" si="9"/>
        <v>#DIV/0!</v>
      </c>
      <c r="BC29" s="151" t="e">
        <f t="shared" si="10"/>
        <v>#DIV/0!</v>
      </c>
      <c r="BD29" s="39" t="e">
        <f t="shared" si="35"/>
        <v>#DIV/0!</v>
      </c>
      <c r="BE29" s="23" t="e">
        <f t="shared" si="36"/>
        <v>#DIV/0!</v>
      </c>
      <c r="BF29" s="3" t="e">
        <f t="shared" si="37"/>
        <v>#DIV/0!</v>
      </c>
      <c r="BG29" s="3" t="e">
        <f t="shared" si="38"/>
        <v>#DIV/0!</v>
      </c>
      <c r="BH29" s="3" t="e">
        <f t="shared" si="39"/>
        <v>#DIV/0!</v>
      </c>
      <c r="BI29" s="121" t="e">
        <f t="shared" si="40"/>
        <v>#DIV/0!</v>
      </c>
      <c r="BJ29" s="193">
        <f t="shared" si="42"/>
        <v>0</v>
      </c>
      <c r="BK29" s="194" t="e">
        <f t="shared" si="43"/>
        <v>#DIV/0!</v>
      </c>
    </row>
    <row r="30" spans="2:63" x14ac:dyDescent="0.25">
      <c r="B30" s="220" t="s">
        <v>29</v>
      </c>
      <c r="C30" s="221"/>
      <c r="D30" s="22">
        <v>0</v>
      </c>
      <c r="H30" s="17"/>
      <c r="I30" s="17"/>
      <c r="J30" s="40"/>
      <c r="K30" s="41"/>
      <c r="L30" s="41"/>
      <c r="M30" s="41"/>
      <c r="N30" s="41"/>
      <c r="O30" s="41"/>
      <c r="P30" s="41"/>
      <c r="Q30" s="41"/>
      <c r="R30" s="41"/>
      <c r="S30" s="41"/>
      <c r="T30" s="42"/>
      <c r="U30" s="32">
        <f t="shared" si="8"/>
        <v>0</v>
      </c>
      <c r="V30" s="163">
        <f t="shared" si="4"/>
        <v>0</v>
      </c>
      <c r="W30" s="163">
        <f t="shared" si="14"/>
        <v>0</v>
      </c>
      <c r="X30" s="163">
        <f t="shared" si="6"/>
        <v>0</v>
      </c>
      <c r="Y30" s="163">
        <f t="shared" si="7"/>
        <v>0</v>
      </c>
      <c r="Z30" s="163">
        <f t="shared" si="15"/>
        <v>0</v>
      </c>
      <c r="AA30" s="163">
        <f t="shared" si="16"/>
        <v>0</v>
      </c>
      <c r="AB30" s="163">
        <f t="shared" si="17"/>
        <v>0</v>
      </c>
      <c r="AC30" s="163">
        <f t="shared" si="2"/>
        <v>0</v>
      </c>
      <c r="AD30" s="33">
        <f t="shared" si="3"/>
        <v>0</v>
      </c>
      <c r="AE30" s="204">
        <f>(('Branco 4'!$P$10-U30)/('Branco 4'!$P$10))*100</f>
        <v>100</v>
      </c>
      <c r="AF30" s="38"/>
      <c r="AG30" s="39" t="e">
        <f t="shared" si="18"/>
        <v>#DIV/0!</v>
      </c>
      <c r="AH30" s="39" t="e">
        <f t="shared" si="19"/>
        <v>#DIV/0!</v>
      </c>
      <c r="AI30" s="39" t="e">
        <f t="shared" si="20"/>
        <v>#DIV/0!</v>
      </c>
      <c r="AJ30" s="39" t="e">
        <f t="shared" si="21"/>
        <v>#DIV/0!</v>
      </c>
      <c r="AK30" s="39" t="e">
        <f t="shared" si="22"/>
        <v>#DIV/0!</v>
      </c>
      <c r="AL30" s="39" t="e">
        <f t="shared" si="23"/>
        <v>#DIV/0!</v>
      </c>
      <c r="AM30" s="39" t="e">
        <f t="shared" si="24"/>
        <v>#DIV/0!</v>
      </c>
      <c r="AN30" s="38" t="e">
        <f t="shared" si="44"/>
        <v>#DIV/0!</v>
      </c>
      <c r="AO30" s="38" t="e">
        <f t="shared" si="26"/>
        <v>#DIV/0!</v>
      </c>
      <c r="AP30" s="38" t="e">
        <f t="shared" si="27"/>
        <v>#DIV/0!</v>
      </c>
      <c r="AQ30" s="39" t="e">
        <f t="shared" si="28"/>
        <v>#DIV/0!</v>
      </c>
      <c r="AR30" s="39" t="e">
        <f t="shared" si="29"/>
        <v>#DIV/0!</v>
      </c>
      <c r="AS30" s="38" t="e">
        <f t="shared" si="30"/>
        <v>#DIV/0!</v>
      </c>
      <c r="AT30" s="38" t="e">
        <f t="shared" si="45"/>
        <v>#DIV/0!</v>
      </c>
      <c r="AU30" s="151"/>
      <c r="AV30" s="151">
        <f>(((U30*3)+(V30*3)+(2*W30)+(2*X30)+(Y30)+(Z30)+(AB30)))/((Branco3!$P$10*3))*100</f>
        <v>0</v>
      </c>
      <c r="AW30" s="151" t="e">
        <f t="shared" si="46"/>
        <v>#DIV/0!</v>
      </c>
      <c r="AX30" s="186" t="e">
        <f t="shared" si="47"/>
        <v>#DIV/0!</v>
      </c>
      <c r="AY30" s="23" t="e">
        <f t="shared" si="9"/>
        <v>#DIV/0!</v>
      </c>
      <c r="AZ30" s="23" t="e">
        <f t="shared" si="9"/>
        <v>#DIV/0!</v>
      </c>
      <c r="BA30" s="23" t="e">
        <f t="shared" si="9"/>
        <v>#DIV/0!</v>
      </c>
      <c r="BB30" s="23" t="e">
        <f t="shared" si="9"/>
        <v>#DIV/0!</v>
      </c>
      <c r="BC30" s="151" t="e">
        <f t="shared" si="10"/>
        <v>#DIV/0!</v>
      </c>
      <c r="BD30" s="39" t="e">
        <f t="shared" si="35"/>
        <v>#DIV/0!</v>
      </c>
      <c r="BE30" s="23" t="e">
        <f t="shared" si="36"/>
        <v>#DIV/0!</v>
      </c>
      <c r="BF30" s="3" t="e">
        <f t="shared" si="37"/>
        <v>#DIV/0!</v>
      </c>
      <c r="BG30" s="3" t="e">
        <f t="shared" si="38"/>
        <v>#DIV/0!</v>
      </c>
      <c r="BH30" s="3" t="e">
        <f t="shared" si="39"/>
        <v>#DIV/0!</v>
      </c>
      <c r="BI30" s="121" t="e">
        <f t="shared" si="40"/>
        <v>#DIV/0!</v>
      </c>
      <c r="BJ30" s="193">
        <f t="shared" si="42"/>
        <v>0</v>
      </c>
      <c r="BK30" s="194" t="e">
        <f t="shared" si="43"/>
        <v>#DIV/0!</v>
      </c>
    </row>
    <row r="31" spans="2:63" x14ac:dyDescent="0.25">
      <c r="B31" s="220" t="s">
        <v>26</v>
      </c>
      <c r="C31" s="221"/>
      <c r="D31" s="26">
        <f>D28*D29</f>
        <v>8.1679964763916645E-6</v>
      </c>
      <c r="H31" s="17"/>
      <c r="I31" s="17"/>
      <c r="J31" s="40"/>
      <c r="K31" s="41"/>
      <c r="L31" s="41"/>
      <c r="M31" s="41"/>
      <c r="N31" s="41"/>
      <c r="O31" s="41"/>
      <c r="P31" s="41"/>
      <c r="Q31" s="41"/>
      <c r="R31" s="41"/>
      <c r="S31" s="41"/>
      <c r="T31" s="42"/>
      <c r="U31" s="32">
        <f t="shared" si="8"/>
        <v>0</v>
      </c>
      <c r="V31" s="163">
        <f t="shared" si="4"/>
        <v>0</v>
      </c>
      <c r="W31" s="163">
        <f t="shared" si="14"/>
        <v>0</v>
      </c>
      <c r="X31" s="163">
        <f t="shared" si="6"/>
        <v>0</v>
      </c>
      <c r="Y31" s="163">
        <f t="shared" si="7"/>
        <v>0</v>
      </c>
      <c r="Z31" s="163">
        <f t="shared" si="15"/>
        <v>0</v>
      </c>
      <c r="AA31" s="163">
        <f t="shared" si="16"/>
        <v>0</v>
      </c>
      <c r="AB31" s="163">
        <f t="shared" si="17"/>
        <v>0</v>
      </c>
      <c r="AC31" s="163">
        <f t="shared" si="2"/>
        <v>0</v>
      </c>
      <c r="AD31" s="33">
        <f t="shared" si="3"/>
        <v>0</v>
      </c>
      <c r="AE31" s="204">
        <f>(('Branco 4'!$P$10-U31)/('Branco 4'!$P$10))*100</f>
        <v>100</v>
      </c>
      <c r="AF31" s="38"/>
      <c r="AG31" s="39" t="e">
        <f t="shared" si="18"/>
        <v>#DIV/0!</v>
      </c>
      <c r="AH31" s="39" t="e">
        <f t="shared" si="19"/>
        <v>#DIV/0!</v>
      </c>
      <c r="AI31" s="39" t="e">
        <f t="shared" si="20"/>
        <v>#DIV/0!</v>
      </c>
      <c r="AJ31" s="39" t="e">
        <f t="shared" si="21"/>
        <v>#DIV/0!</v>
      </c>
      <c r="AK31" s="39" t="e">
        <f t="shared" si="22"/>
        <v>#DIV/0!</v>
      </c>
      <c r="AL31" s="39" t="e">
        <f t="shared" si="23"/>
        <v>#DIV/0!</v>
      </c>
      <c r="AM31" s="39" t="e">
        <f t="shared" si="24"/>
        <v>#DIV/0!</v>
      </c>
      <c r="AN31" s="38" t="e">
        <f t="shared" si="44"/>
        <v>#DIV/0!</v>
      </c>
      <c r="AO31" s="38" t="e">
        <f t="shared" si="26"/>
        <v>#DIV/0!</v>
      </c>
      <c r="AP31" s="38" t="e">
        <f t="shared" si="27"/>
        <v>#DIV/0!</v>
      </c>
      <c r="AQ31" s="39" t="e">
        <f t="shared" si="28"/>
        <v>#DIV/0!</v>
      </c>
      <c r="AR31" s="39" t="e">
        <f t="shared" si="29"/>
        <v>#DIV/0!</v>
      </c>
      <c r="AS31" s="38" t="e">
        <f t="shared" si="30"/>
        <v>#DIV/0!</v>
      </c>
      <c r="AT31" s="38" t="e">
        <f t="shared" si="45"/>
        <v>#DIV/0!</v>
      </c>
      <c r="AU31" s="151"/>
      <c r="AV31" s="151">
        <f>(((U31*3)+(V31*3)+(2*W31)+(2*X31)+(Y31)+(Z31)+(AB31)))/((Branco3!$P$10*3))*100</f>
        <v>0</v>
      </c>
      <c r="AW31" s="151" t="e">
        <f t="shared" si="46"/>
        <v>#DIV/0!</v>
      </c>
      <c r="AX31" s="186" t="e">
        <f t="shared" si="47"/>
        <v>#DIV/0!</v>
      </c>
      <c r="AY31" s="23" t="e">
        <f t="shared" si="9"/>
        <v>#DIV/0!</v>
      </c>
      <c r="AZ31" s="23" t="e">
        <f t="shared" si="9"/>
        <v>#DIV/0!</v>
      </c>
      <c r="BA31" s="23" t="e">
        <f t="shared" si="9"/>
        <v>#DIV/0!</v>
      </c>
      <c r="BB31" s="23" t="e">
        <f t="shared" si="9"/>
        <v>#DIV/0!</v>
      </c>
      <c r="BC31" s="151" t="e">
        <f t="shared" si="10"/>
        <v>#DIV/0!</v>
      </c>
      <c r="BD31" s="39" t="e">
        <f t="shared" si="35"/>
        <v>#DIV/0!</v>
      </c>
      <c r="BE31" s="23" t="e">
        <f t="shared" si="36"/>
        <v>#DIV/0!</v>
      </c>
      <c r="BF31" s="3" t="e">
        <f t="shared" si="37"/>
        <v>#DIV/0!</v>
      </c>
      <c r="BG31" s="3" t="e">
        <f t="shared" si="38"/>
        <v>#DIV/0!</v>
      </c>
      <c r="BH31" s="3" t="e">
        <f t="shared" si="39"/>
        <v>#DIV/0!</v>
      </c>
      <c r="BI31" s="121" t="e">
        <f t="shared" si="40"/>
        <v>#DIV/0!</v>
      </c>
      <c r="BJ31" s="193">
        <f t="shared" si="42"/>
        <v>0</v>
      </c>
      <c r="BK31" s="194" t="e">
        <f t="shared" si="43"/>
        <v>#DIV/0!</v>
      </c>
    </row>
    <row r="32" spans="2:63" ht="15.75" thickBot="1" x14ac:dyDescent="0.3">
      <c r="B32" s="222" t="s">
        <v>27</v>
      </c>
      <c r="C32" s="223"/>
      <c r="D32" s="27">
        <f>D28*D30</f>
        <v>0</v>
      </c>
      <c r="H32" s="18"/>
      <c r="I32" s="18"/>
      <c r="J32" s="43"/>
      <c r="K32" s="44"/>
      <c r="L32" s="44"/>
      <c r="M32" s="44"/>
      <c r="N32" s="44"/>
      <c r="O32" s="44"/>
      <c r="P32" s="44"/>
      <c r="Q32" s="44"/>
      <c r="R32" s="44"/>
      <c r="S32" s="44"/>
      <c r="T32" s="45"/>
      <c r="U32" s="34">
        <f t="shared" si="8"/>
        <v>0</v>
      </c>
      <c r="V32" s="35">
        <f t="shared" si="4"/>
        <v>0</v>
      </c>
      <c r="W32" s="35">
        <f t="shared" si="14"/>
        <v>0</v>
      </c>
      <c r="X32" s="35">
        <f t="shared" si="6"/>
        <v>0</v>
      </c>
      <c r="Y32" s="35">
        <f t="shared" si="7"/>
        <v>0</v>
      </c>
      <c r="Z32" s="163">
        <f t="shared" si="15"/>
        <v>0</v>
      </c>
      <c r="AA32" s="35">
        <f t="shared" si="16"/>
        <v>0</v>
      </c>
      <c r="AB32" s="163">
        <f t="shared" si="17"/>
        <v>0</v>
      </c>
      <c r="AC32" s="35">
        <f t="shared" si="2"/>
        <v>0</v>
      </c>
      <c r="AD32" s="36">
        <f t="shared" si="3"/>
        <v>0</v>
      </c>
      <c r="AE32" s="204">
        <f>(('Branco 4'!$P$10-U32)/('Branco 4'!$P$10))*100</f>
        <v>100</v>
      </c>
      <c r="AF32" s="97"/>
      <c r="AG32" s="102" t="e">
        <f t="shared" si="18"/>
        <v>#DIV/0!</v>
      </c>
      <c r="AH32" s="102" t="e">
        <f t="shared" si="19"/>
        <v>#DIV/0!</v>
      </c>
      <c r="AI32" s="102" t="e">
        <f t="shared" si="20"/>
        <v>#DIV/0!</v>
      </c>
      <c r="AJ32" s="102" t="e">
        <f t="shared" si="21"/>
        <v>#DIV/0!</v>
      </c>
      <c r="AK32" s="102" t="e">
        <f t="shared" si="22"/>
        <v>#DIV/0!</v>
      </c>
      <c r="AL32" s="102" t="e">
        <f t="shared" si="23"/>
        <v>#DIV/0!</v>
      </c>
      <c r="AM32" s="102" t="e">
        <f t="shared" si="24"/>
        <v>#DIV/0!</v>
      </c>
      <c r="AN32" s="97" t="e">
        <f t="shared" si="44"/>
        <v>#DIV/0!</v>
      </c>
      <c r="AO32" s="97" t="e">
        <f t="shared" si="26"/>
        <v>#DIV/0!</v>
      </c>
      <c r="AP32" s="97" t="e">
        <f t="shared" si="27"/>
        <v>#DIV/0!</v>
      </c>
      <c r="AQ32" s="102" t="e">
        <f t="shared" si="28"/>
        <v>#DIV/0!</v>
      </c>
      <c r="AR32" s="102" t="e">
        <f t="shared" si="29"/>
        <v>#DIV/0!</v>
      </c>
      <c r="AS32" s="97" t="e">
        <f t="shared" si="30"/>
        <v>#DIV/0!</v>
      </c>
      <c r="AT32" s="97" t="e">
        <f t="shared" si="45"/>
        <v>#DIV/0!</v>
      </c>
      <c r="AU32" s="153"/>
      <c r="AV32" s="153">
        <f>(((U32*3)+(V32*3)+(2*W32)+(2*X32)+(Y32)+(Z32)+(AB32)))/((Branco3!$P$10*3))*100</f>
        <v>0</v>
      </c>
      <c r="AW32" s="15" t="e">
        <f>AG32*AE32/100</f>
        <v>#DIV/0!</v>
      </c>
      <c r="AX32" s="192" t="e">
        <f t="shared" si="47"/>
        <v>#DIV/0!</v>
      </c>
      <c r="AY32" s="152" t="e">
        <f t="shared" si="9"/>
        <v>#DIV/0!</v>
      </c>
      <c r="AZ32" s="152" t="e">
        <f t="shared" si="9"/>
        <v>#DIV/0!</v>
      </c>
      <c r="BA32" s="152" t="e">
        <f t="shared" si="9"/>
        <v>#DIV/0!</v>
      </c>
      <c r="BB32" s="152" t="e">
        <f t="shared" si="9"/>
        <v>#DIV/0!</v>
      </c>
      <c r="BC32" s="153" t="e">
        <f t="shared" si="10"/>
        <v>#DIV/0!</v>
      </c>
      <c r="BD32" s="102" t="e">
        <f t="shared" si="35"/>
        <v>#DIV/0!</v>
      </c>
      <c r="BE32" s="152" t="e">
        <f t="shared" si="36"/>
        <v>#DIV/0!</v>
      </c>
      <c r="BF32" s="7" t="e">
        <f t="shared" si="37"/>
        <v>#DIV/0!</v>
      </c>
      <c r="BG32" s="7" t="e">
        <f t="shared" si="38"/>
        <v>#DIV/0!</v>
      </c>
      <c r="BH32" s="7" t="e">
        <f t="shared" si="39"/>
        <v>#DIV/0!</v>
      </c>
      <c r="BI32" s="122" t="e">
        <f t="shared" si="40"/>
        <v>#DIV/0!</v>
      </c>
      <c r="BJ32" s="195">
        <f t="shared" si="42"/>
        <v>0</v>
      </c>
      <c r="BK32" s="196" t="e">
        <f t="shared" si="43"/>
        <v>#DIV/0!</v>
      </c>
    </row>
    <row r="33" spans="2:48" x14ac:dyDescent="0.25">
      <c r="AE33" s="95" t="s">
        <v>50</v>
      </c>
    </row>
    <row r="34" spans="2:48" ht="15.75" thickBot="1" x14ac:dyDescent="0.3">
      <c r="B34" s="28">
        <f>D28*0.24</f>
        <v>1.9603191543339994E-6</v>
      </c>
      <c r="C34" s="1">
        <v>1028</v>
      </c>
      <c r="AE34" s="96">
        <f>AVERAGE(AE12:AE28)</f>
        <v>2.1691040070788921</v>
      </c>
      <c r="AV34" s="23">
        <f>AVERAGE(AV9:AV27)</f>
        <v>97.39288271999834</v>
      </c>
    </row>
    <row r="35" spans="2:48" ht="15.75" thickBot="1" x14ac:dyDescent="0.3">
      <c r="B35" s="28">
        <f>B34/C37</f>
        <v>1.9137512082661891E-9</v>
      </c>
      <c r="C35">
        <v>1009</v>
      </c>
    </row>
    <row r="36" spans="2:48" ht="15.75" customHeight="1" thickBot="1" x14ac:dyDescent="0.3">
      <c r="C36">
        <v>1036</v>
      </c>
      <c r="F36" s="243" t="s">
        <v>58</v>
      </c>
      <c r="G36" s="217" t="s">
        <v>73</v>
      </c>
      <c r="H36" s="226"/>
      <c r="I36" s="226"/>
      <c r="J36" s="226"/>
      <c r="K36" s="226"/>
      <c r="L36" s="226"/>
      <c r="M36" s="226"/>
      <c r="N36" s="218"/>
      <c r="O36" s="179"/>
      <c r="P36" s="235" t="s">
        <v>34</v>
      </c>
      <c r="Q36" s="224" t="s">
        <v>74</v>
      </c>
      <c r="R36" s="224" t="s">
        <v>75</v>
      </c>
      <c r="S36" s="224" t="s">
        <v>80</v>
      </c>
      <c r="T36" s="224" t="s">
        <v>81</v>
      </c>
      <c r="U36" s="224" t="s">
        <v>82</v>
      </c>
      <c r="V36" s="227" t="s">
        <v>36</v>
      </c>
      <c r="W36" s="237" t="s">
        <v>49</v>
      </c>
      <c r="X36" s="237" t="s">
        <v>59</v>
      </c>
    </row>
    <row r="37" spans="2:48" ht="15.75" thickBot="1" x14ac:dyDescent="0.3">
      <c r="C37" s="1">
        <f>AVERAGE(C34:C36)</f>
        <v>1024.3333333333333</v>
      </c>
      <c r="F37" s="244"/>
      <c r="G37" s="123" t="s">
        <v>68</v>
      </c>
      <c r="H37" s="167" t="s">
        <v>37</v>
      </c>
      <c r="I37" s="167" t="s">
        <v>38</v>
      </c>
      <c r="J37" s="167" t="s">
        <v>39</v>
      </c>
      <c r="K37" s="167" t="s">
        <v>10</v>
      </c>
      <c r="L37" s="167" t="s">
        <v>8</v>
      </c>
      <c r="M37" s="167" t="s">
        <v>11</v>
      </c>
      <c r="N37" s="168" t="s">
        <v>35</v>
      </c>
      <c r="O37" s="168"/>
      <c r="P37" s="236"/>
      <c r="Q37" s="225"/>
      <c r="R37" s="229"/>
      <c r="S37" s="229"/>
      <c r="T37" s="229"/>
      <c r="U37" s="229"/>
      <c r="V37" s="228"/>
      <c r="W37" s="238"/>
      <c r="X37" s="238"/>
    </row>
    <row r="38" spans="2:48" x14ac:dyDescent="0.25">
      <c r="F38" s="95">
        <v>1</v>
      </c>
      <c r="G38" s="23">
        <f>AVERAGE(AL9:AL12)</f>
        <v>0</v>
      </c>
      <c r="H38" s="148">
        <f t="shared" ref="H38:J38" si="48">AVERAGE(AG9:AG12)</f>
        <v>49.503602513629524</v>
      </c>
      <c r="I38" s="148">
        <f t="shared" si="48"/>
        <v>4.693726060722077</v>
      </c>
      <c r="J38" s="148">
        <f t="shared" si="48"/>
        <v>22.013241280285278</v>
      </c>
      <c r="K38" s="148">
        <f>AVERAGE(AJ9:AJ12)</f>
        <v>15.359253750613101</v>
      </c>
      <c r="L38" s="148">
        <f>AVERAGE(AK9:AK12)</f>
        <v>0</v>
      </c>
      <c r="M38" s="148">
        <f>AVERAGE(AN9:AN12)</f>
        <v>0</v>
      </c>
      <c r="N38" s="37">
        <f>AVERAGE(AM9:AM12)</f>
        <v>8.6884841132445274</v>
      </c>
      <c r="O38" s="37"/>
      <c r="P38" s="132">
        <f>AVERAGE(AE9:AE12)</f>
        <v>5.6270869169280502</v>
      </c>
      <c r="Q38" s="169">
        <f>AVERAGE(AO10:AO12)</f>
        <v>65.723740377581933</v>
      </c>
      <c r="R38" s="129">
        <f>AVERAGE(AQ10:AQ12)</f>
        <v>19.916105665816438</v>
      </c>
      <c r="S38" s="129">
        <f>AVERAGE(AR10:AR12)</f>
        <v>0</v>
      </c>
      <c r="T38" s="129">
        <f t="shared" ref="T38:U42" si="49">AVERAGE(AS10:AS12)</f>
        <v>3.0701371749469679</v>
      </c>
      <c r="U38" s="129">
        <f t="shared" si="49"/>
        <v>7.0598042427989425</v>
      </c>
      <c r="V38" s="132">
        <f>AVERAGE(AV9:AV12)</f>
        <v>94.958079414293366</v>
      </c>
      <c r="W38" s="129">
        <f>AVERAGE(AW9:AW12)</f>
        <v>3.4630650586362854</v>
      </c>
      <c r="X38" s="132">
        <f>AVERAGE(BD9:BD12)</f>
        <v>2.9977220955363908</v>
      </c>
    </row>
    <row r="39" spans="2:48" x14ac:dyDescent="0.25">
      <c r="F39" s="115">
        <v>2</v>
      </c>
      <c r="G39" s="23">
        <f>AVERAGE(AL13:AL16)</f>
        <v>0</v>
      </c>
      <c r="H39" s="148">
        <f t="shared" ref="H39:J39" si="50">AVERAGE(AG13:AG16)</f>
        <v>49.057777190084074</v>
      </c>
      <c r="I39" s="148">
        <f t="shared" si="50"/>
        <v>17.708644997720434</v>
      </c>
      <c r="J39" s="148">
        <f t="shared" si="50"/>
        <v>20.95708515723333</v>
      </c>
      <c r="K39" s="148">
        <f>AVERAGE(AJ13:AJ16)</f>
        <v>15.408622048240094</v>
      </c>
      <c r="L39" s="148">
        <f>AVERAGE(AK13:AK16)</f>
        <v>0</v>
      </c>
      <c r="M39" s="148">
        <f>AVERAGE(AN13:AN16)</f>
        <v>0</v>
      </c>
      <c r="N39" s="37">
        <f>AVERAGE(AM13:AM16)</f>
        <v>0</v>
      </c>
      <c r="O39" s="37"/>
      <c r="P39" s="133">
        <f>AVERAGE(AE13,AE14,AE16)</f>
        <v>3.3919075404454233</v>
      </c>
      <c r="Q39" s="170">
        <f>AVERAGE(AO13:AO14)</f>
        <v>65.785591403432576</v>
      </c>
      <c r="R39" s="130">
        <f>AVERAGE(AQ13:AQ14)</f>
        <v>19.201646556150138</v>
      </c>
      <c r="S39" s="130">
        <f t="shared" ref="S39:S42" si="51">AVERAGE(AR11:AR13)</f>
        <v>0</v>
      </c>
      <c r="T39" s="130">
        <f t="shared" si="49"/>
        <v>1.3192636653910395</v>
      </c>
      <c r="U39" s="130">
        <f t="shared" si="49"/>
        <v>7.3055274890874484</v>
      </c>
      <c r="V39" s="133">
        <f>AVERAGE(AV13:AV16)</f>
        <v>96.929397959090267</v>
      </c>
      <c r="W39" s="130">
        <f>AVERAGE(AW13:AW16)</f>
        <v>2.0357858763278975</v>
      </c>
      <c r="X39" s="133">
        <f>AVERAGE(BD13:BD16)</f>
        <v>1.7622309139211589</v>
      </c>
    </row>
    <row r="40" spans="2:48" x14ac:dyDescent="0.25">
      <c r="F40" s="115">
        <v>3</v>
      </c>
      <c r="G40" s="23">
        <f>AVERAGE(AL17:AL20)</f>
        <v>0</v>
      </c>
      <c r="H40" s="148">
        <f t="shared" ref="H40:J40" si="52">AVERAGE(AG18:AG21)</f>
        <v>45.663270678693344</v>
      </c>
      <c r="I40" s="148">
        <f t="shared" si="52"/>
        <v>33.706166595351569</v>
      </c>
      <c r="J40" s="148">
        <f t="shared" si="52"/>
        <v>17.508836714784934</v>
      </c>
      <c r="K40" s="148">
        <f>AVERAGE(AJ18:AJ21)</f>
        <v>11.68082511393929</v>
      </c>
      <c r="L40" s="148">
        <f>AVERAGE(AK18:AK21)</f>
        <v>0</v>
      </c>
      <c r="M40" s="148">
        <f>AVERAGE(AN18:AN21)</f>
        <v>0</v>
      </c>
      <c r="N40" s="37">
        <f>AVERAGE(AM18:AM21)</f>
        <v>0</v>
      </c>
      <c r="O40" s="37"/>
      <c r="P40" s="133">
        <f>AVERAGE(AE18:AE21)</f>
        <v>1.8263685115855413</v>
      </c>
      <c r="Q40" s="170">
        <f>AVERAGE(AO17:AO20)</f>
        <v>57.393755614676664</v>
      </c>
      <c r="R40" s="130">
        <f>AVERAGE(AQ17:AQ20)</f>
        <v>14.812376843394453</v>
      </c>
      <c r="S40" s="130">
        <f t="shared" si="51"/>
        <v>0</v>
      </c>
      <c r="T40" s="130">
        <f t="shared" si="49"/>
        <v>0</v>
      </c>
      <c r="U40" s="130">
        <f t="shared" si="49"/>
        <v>7.3916348754469157</v>
      </c>
      <c r="V40" s="133">
        <f>AVERAGE(AV18:AV21)</f>
        <v>98.329002476696957</v>
      </c>
      <c r="W40" s="130">
        <f>AVERAGE(AW18:AW21)</f>
        <v>1.0481405702150062</v>
      </c>
      <c r="X40" s="133">
        <f>AVERAGE(BD18:BD21)</f>
        <v>0.9072986193909196</v>
      </c>
    </row>
    <row r="41" spans="2:48" x14ac:dyDescent="0.25">
      <c r="F41" s="115">
        <v>4</v>
      </c>
      <c r="G41" s="23">
        <f>AVERAGE(AL21:AL24)</f>
        <v>0</v>
      </c>
      <c r="H41" s="148">
        <f t="shared" ref="H41:J41" si="53">AVERAGE(AG22:AG25)</f>
        <v>50.379532789875725</v>
      </c>
      <c r="I41" s="148">
        <f t="shared" si="53"/>
        <v>22.082448493001404</v>
      </c>
      <c r="J41" s="148">
        <f t="shared" si="53"/>
        <v>19.018102639434396</v>
      </c>
      <c r="K41" s="148">
        <f>AVERAGE(AJ22:AJ25)</f>
        <v>12.51652186456109</v>
      </c>
      <c r="L41" s="148">
        <f>AVERAGE(AK22:AK25)</f>
        <v>0</v>
      </c>
      <c r="M41" s="148">
        <f>AVERAGE(AN22:AN25)</f>
        <v>0</v>
      </c>
      <c r="N41" s="37">
        <f>AVERAGE(AM22:AM25)</f>
        <v>0</v>
      </c>
      <c r="O41" s="37"/>
      <c r="P41" s="133">
        <f>AVERAGE(AE22:AE25)</f>
        <v>1.3773651725184601</v>
      </c>
      <c r="Q41" s="170">
        <f>AVERAGE(AO22,AO24)</f>
        <v>63.533263814640051</v>
      </c>
      <c r="R41" s="130">
        <f>AVERAGE(AQ22,AQ24)</f>
        <v>15.993838672658034</v>
      </c>
      <c r="S41" s="130">
        <f t="shared" si="51"/>
        <v>0</v>
      </c>
      <c r="T41" s="130">
        <f t="shared" si="49"/>
        <v>0</v>
      </c>
      <c r="U41" s="130">
        <f t="shared" si="49"/>
        <v>7.0008313076020343</v>
      </c>
      <c r="V41" s="133">
        <f>AVERAGE(AV22:AV25)</f>
        <v>98.769094543096998</v>
      </c>
      <c r="W41" s="130">
        <f>AVERAGE(AW22:AW25)</f>
        <v>0.86234371961529288</v>
      </c>
      <c r="X41" s="133">
        <f>AVERAGE(BD22:BD25)</f>
        <v>0.7464678770013552</v>
      </c>
    </row>
    <row r="42" spans="2:48" ht="15.75" thickBot="1" x14ac:dyDescent="0.3">
      <c r="F42" s="116">
        <v>5</v>
      </c>
      <c r="G42" s="152">
        <f>AVERAGE(AL25:AL28)</f>
        <v>0</v>
      </c>
      <c r="H42" s="154">
        <f>AVERAGE(AG26:AG27)</f>
        <v>50.4808207200985</v>
      </c>
      <c r="I42" s="154">
        <f>AVERAGE(AH26:AH27)</f>
        <v>24.114862849903439</v>
      </c>
      <c r="J42" s="154">
        <f>AVERAGE(AI26:AI27)</f>
        <v>18.169349201668105</v>
      </c>
      <c r="K42" s="154">
        <f>AVERAGE(AJ26:AJ27)</f>
        <v>11.957925606940979</v>
      </c>
      <c r="L42" s="154">
        <f>AVERAGE(AK26:AK27)</f>
        <v>0</v>
      </c>
      <c r="M42" s="154">
        <f>AVERAGE(AN26:AN27)</f>
        <v>0</v>
      </c>
      <c r="N42" s="155">
        <f>AVERAGE(AM26:AM27)</f>
        <v>0</v>
      </c>
      <c r="O42" s="155"/>
      <c r="P42" s="134">
        <f>AVERAGE(AE26:AE28)</f>
        <v>1.3710411818273676</v>
      </c>
      <c r="Q42" s="171">
        <f>AVERAGE(AO26,AO27)</f>
        <v>63.487785452000097</v>
      </c>
      <c r="R42" s="131">
        <f>AVERAGE(AQ26,AQ27)</f>
        <v>15.23392749250219</v>
      </c>
      <c r="S42" s="131">
        <f t="shared" si="51"/>
        <v>0</v>
      </c>
      <c r="T42" s="131">
        <f t="shared" si="49"/>
        <v>0</v>
      </c>
      <c r="U42" s="131">
        <f t="shared" si="49"/>
        <v>6.287285786522788</v>
      </c>
      <c r="V42" s="134">
        <f>AVERAGE(AV26:AV28)</f>
        <v>98.781706501716215</v>
      </c>
      <c r="W42" s="131">
        <f>AVERAGE(AW23:AW26)</f>
        <v>0.7472693065744016</v>
      </c>
      <c r="X42" s="134">
        <f>AVERAGE(BD23:BD26)</f>
        <v>0.64685637540877416</v>
      </c>
    </row>
    <row r="43" spans="2:48" x14ac:dyDescent="0.25">
      <c r="P43" s="128"/>
    </row>
  </sheetData>
  <mergeCells count="38">
    <mergeCell ref="W36:W37"/>
    <mergeCell ref="X36:X37"/>
    <mergeCell ref="Q36:Q37"/>
    <mergeCell ref="R36:R37"/>
    <mergeCell ref="S36:S37"/>
    <mergeCell ref="T36:T37"/>
    <mergeCell ref="U36:U37"/>
    <mergeCell ref="V36:V37"/>
    <mergeCell ref="B30:C30"/>
    <mergeCell ref="B31:C31"/>
    <mergeCell ref="B32:C32"/>
    <mergeCell ref="F36:F37"/>
    <mergeCell ref="G36:N36"/>
    <mergeCell ref="P36:P37"/>
    <mergeCell ref="BJ3:BJ4"/>
    <mergeCell ref="BK3:BK4"/>
    <mergeCell ref="B21:B23"/>
    <mergeCell ref="B24:B26"/>
    <mergeCell ref="B28:C28"/>
    <mergeCell ref="B29:C29"/>
    <mergeCell ref="AS3:AS4"/>
    <mergeCell ref="AT3:AT4"/>
    <mergeCell ref="AV3:AV4"/>
    <mergeCell ref="AW3:AW4"/>
    <mergeCell ref="AX3:BC3"/>
    <mergeCell ref="BD3:BI3"/>
    <mergeCell ref="AF3:AF4"/>
    <mergeCell ref="AG3:AN3"/>
    <mergeCell ref="AO3:AO4"/>
    <mergeCell ref="AP3:AP4"/>
    <mergeCell ref="AQ3:AQ4"/>
    <mergeCell ref="AR3:AR4"/>
    <mergeCell ref="H2:I2"/>
    <mergeCell ref="H3:H4"/>
    <mergeCell ref="I3:I4"/>
    <mergeCell ref="J3:T3"/>
    <mergeCell ref="U3:AD3"/>
    <mergeCell ref="AE3:AE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8DDE4-F675-41B1-965C-D853D99D9358}">
  <dimension ref="A1:X23"/>
  <sheetViews>
    <sheetView zoomScale="90" zoomScaleNormal="90" workbookViewId="0">
      <selection activeCell="T20" sqref="T20"/>
    </sheetView>
  </sheetViews>
  <sheetFormatPr defaultRowHeight="15" x14ac:dyDescent="0.25"/>
  <cols>
    <col min="1" max="1" width="20.7109375" bestFit="1" customWidth="1"/>
    <col min="3" max="3" width="12" bestFit="1" customWidth="1"/>
    <col min="4" max="4" width="13.28515625" bestFit="1" customWidth="1"/>
    <col min="5" max="5" width="13.42578125" bestFit="1" customWidth="1"/>
    <col min="6" max="6" width="11.5703125" bestFit="1" customWidth="1"/>
    <col min="7" max="7" width="10.85546875" bestFit="1" customWidth="1"/>
    <col min="10" max="10" width="10.85546875" bestFit="1" customWidth="1"/>
    <col min="11" max="11" width="10.28515625" bestFit="1" customWidth="1"/>
    <col min="12" max="12" width="9.7109375" bestFit="1" customWidth="1"/>
    <col min="13" max="13" width="9.5703125" bestFit="1" customWidth="1"/>
    <col min="16" max="16" width="13.28515625" bestFit="1" customWidth="1"/>
    <col min="17" max="17" width="13.42578125" bestFit="1" customWidth="1"/>
    <col min="18" max="18" width="11.28515625" bestFit="1" customWidth="1"/>
    <col min="19" max="19" width="10.85546875" bestFit="1" customWidth="1"/>
    <col min="21" max="21" width="11.28515625" bestFit="1" customWidth="1"/>
    <col min="22" max="22" width="10.28515625" bestFit="1" customWidth="1"/>
    <col min="23" max="23" width="11.28515625" bestFit="1" customWidth="1"/>
  </cols>
  <sheetData>
    <row r="1" spans="1:24" ht="15.75" thickBot="1" x14ac:dyDescent="0.3">
      <c r="C1" s="113" t="s">
        <v>55</v>
      </c>
      <c r="D1" s="110">
        <v>4.5999999999999996</v>
      </c>
      <c r="E1" s="110"/>
      <c r="F1" s="110">
        <v>3.1</v>
      </c>
      <c r="G1" s="110"/>
      <c r="H1" s="110"/>
      <c r="I1" s="110"/>
      <c r="J1" s="110">
        <v>2.5</v>
      </c>
      <c r="K1" s="110"/>
      <c r="L1" s="110">
        <v>6.6</v>
      </c>
      <c r="M1" s="110"/>
      <c r="O1" s="213" t="s">
        <v>57</v>
      </c>
      <c r="P1" s="213"/>
      <c r="Q1" s="213"/>
      <c r="R1" s="213"/>
      <c r="S1" s="213"/>
      <c r="T1" s="213"/>
      <c r="U1" s="213"/>
      <c r="V1" s="213"/>
      <c r="W1" s="213"/>
      <c r="X1" s="213"/>
    </row>
    <row r="2" spans="1:24" ht="15.75" thickBot="1" x14ac:dyDescent="0.3">
      <c r="A2" s="114" t="s">
        <v>61</v>
      </c>
      <c r="C2" s="117" t="s">
        <v>56</v>
      </c>
      <c r="D2" s="111" t="s">
        <v>40</v>
      </c>
      <c r="E2" s="111" t="s">
        <v>41</v>
      </c>
      <c r="F2" s="111" t="s">
        <v>42</v>
      </c>
      <c r="G2" s="111" t="s">
        <v>43</v>
      </c>
      <c r="H2" s="111" t="s">
        <v>44</v>
      </c>
      <c r="I2" s="111" t="s">
        <v>13</v>
      </c>
      <c r="J2" s="111" t="s">
        <v>45</v>
      </c>
      <c r="K2" s="111" t="s">
        <v>46</v>
      </c>
      <c r="L2" s="111" t="s">
        <v>47</v>
      </c>
      <c r="M2" s="112" t="s">
        <v>48</v>
      </c>
      <c r="O2" s="114" t="s">
        <v>56</v>
      </c>
      <c r="P2" s="124" t="s">
        <v>40</v>
      </c>
      <c r="Q2" s="124" t="s">
        <v>41</v>
      </c>
      <c r="R2" s="124" t="s">
        <v>42</v>
      </c>
      <c r="S2" s="124" t="s">
        <v>43</v>
      </c>
      <c r="T2" s="124" t="s">
        <v>44</v>
      </c>
      <c r="U2" s="124" t="s">
        <v>45</v>
      </c>
      <c r="V2" s="124" t="s">
        <v>46</v>
      </c>
      <c r="W2" s="124" t="s">
        <v>47</v>
      </c>
      <c r="X2" s="125" t="s">
        <v>48</v>
      </c>
    </row>
    <row r="3" spans="1:24" ht="15" customHeight="1" x14ac:dyDescent="0.25">
      <c r="A3" s="214" t="s">
        <v>102</v>
      </c>
      <c r="C3" s="115">
        <v>1</v>
      </c>
      <c r="D3" s="118">
        <v>11859</v>
      </c>
      <c r="E3" s="119"/>
      <c r="F3" s="119">
        <v>5</v>
      </c>
      <c r="G3" s="119"/>
      <c r="H3" s="119"/>
      <c r="I3" s="119"/>
      <c r="J3" s="119"/>
      <c r="K3" s="119"/>
      <c r="L3" s="119"/>
      <c r="M3" s="120"/>
      <c r="O3" s="95">
        <v>1</v>
      </c>
      <c r="P3" s="126">
        <f>D3*$C$14</f>
        <v>1.7726331115387866E-6</v>
      </c>
      <c r="Q3" s="119"/>
      <c r="R3" s="126">
        <f>F3*$C$16</f>
        <v>7.3975251647014964E-10</v>
      </c>
      <c r="S3" s="119"/>
      <c r="T3" s="119"/>
      <c r="U3" s="126"/>
      <c r="V3" s="119"/>
      <c r="W3" s="142">
        <f>L3*C21</f>
        <v>0</v>
      </c>
      <c r="X3" s="120"/>
    </row>
    <row r="4" spans="1:24" ht="14.25" customHeight="1" x14ac:dyDescent="0.25">
      <c r="A4" s="214"/>
      <c r="C4" s="115">
        <v>2</v>
      </c>
      <c r="D4" s="5">
        <v>11873</v>
      </c>
      <c r="E4" s="3"/>
      <c r="F4" s="3">
        <v>5</v>
      </c>
      <c r="G4" s="3"/>
      <c r="H4" s="3"/>
      <c r="I4" s="3"/>
      <c r="J4" s="3"/>
      <c r="K4" s="3"/>
      <c r="L4" s="3"/>
      <c r="M4" s="121"/>
      <c r="O4" s="115">
        <v>2</v>
      </c>
      <c r="P4" s="109">
        <f t="shared" ref="P4:P5" si="0">D4*$C$14</f>
        <v>1.7747257722657907E-6</v>
      </c>
      <c r="Q4" s="3"/>
      <c r="R4" s="109">
        <f t="shared" ref="R4:R9" si="1">F4*$C$16</f>
        <v>7.3975251647014964E-10</v>
      </c>
      <c r="S4" s="3"/>
      <c r="T4" s="3"/>
      <c r="U4" s="109"/>
      <c r="V4" s="3"/>
      <c r="W4" s="143">
        <f t="shared" ref="W4:W9" si="2">L4*C22</f>
        <v>0</v>
      </c>
      <c r="X4" s="121"/>
    </row>
    <row r="5" spans="1:24" ht="15.75" thickBot="1" x14ac:dyDescent="0.3">
      <c r="A5" s="215"/>
      <c r="C5" s="115">
        <v>3</v>
      </c>
      <c r="D5" s="5">
        <v>11865</v>
      </c>
      <c r="E5" s="3"/>
      <c r="F5" s="3">
        <v>5</v>
      </c>
      <c r="G5" s="3"/>
      <c r="H5" s="3"/>
      <c r="I5" s="3"/>
      <c r="J5" s="3"/>
      <c r="K5" s="3"/>
      <c r="L5" s="3"/>
      <c r="M5" s="121"/>
      <c r="O5" s="115">
        <v>3</v>
      </c>
      <c r="P5" s="109">
        <f t="shared" si="0"/>
        <v>1.7735299661360741E-6</v>
      </c>
      <c r="Q5" s="3"/>
      <c r="R5" s="109">
        <f t="shared" si="1"/>
        <v>7.3975251647014964E-10</v>
      </c>
      <c r="S5" s="3"/>
      <c r="T5" s="3"/>
      <c r="U5" s="109"/>
      <c r="V5" s="3"/>
      <c r="W5" s="143">
        <f t="shared" si="2"/>
        <v>0</v>
      </c>
      <c r="X5" s="121"/>
    </row>
    <row r="6" spans="1:24" x14ac:dyDescent="0.25">
      <c r="C6" s="115">
        <v>4</v>
      </c>
      <c r="D6" s="5">
        <v>11758</v>
      </c>
      <c r="E6" s="3"/>
      <c r="F6" s="3">
        <v>4</v>
      </c>
      <c r="G6" s="3"/>
      <c r="H6" s="3"/>
      <c r="I6" s="3"/>
      <c r="J6" s="3"/>
      <c r="K6" s="3"/>
      <c r="L6" s="3"/>
      <c r="M6" s="121"/>
      <c r="O6" s="115">
        <v>4</v>
      </c>
      <c r="P6" s="109">
        <f>D6*$C$14</f>
        <v>1.7575360591511134E-6</v>
      </c>
      <c r="Q6" s="3"/>
      <c r="R6" s="109">
        <f t="shared" si="1"/>
        <v>5.9180201317611974E-10</v>
      </c>
      <c r="S6" s="3"/>
      <c r="T6" s="3"/>
      <c r="U6" s="109"/>
      <c r="V6" s="3"/>
      <c r="W6" s="143">
        <f t="shared" si="2"/>
        <v>0</v>
      </c>
      <c r="X6" s="121"/>
    </row>
    <row r="7" spans="1:24" x14ac:dyDescent="0.25">
      <c r="C7" s="115">
        <v>5</v>
      </c>
      <c r="D7" s="5">
        <v>11943</v>
      </c>
      <c r="E7" s="3"/>
      <c r="F7" s="3">
        <v>4</v>
      </c>
      <c r="G7" s="3"/>
      <c r="H7" s="3"/>
      <c r="I7" s="3"/>
      <c r="J7" s="3"/>
      <c r="K7" s="3"/>
      <c r="L7" s="3"/>
      <c r="M7" s="121"/>
      <c r="O7" s="115">
        <v>5</v>
      </c>
      <c r="P7" s="109">
        <f t="shared" ref="P7:P9" si="3">D7*$C$14</f>
        <v>1.7851890759008119E-6</v>
      </c>
      <c r="Q7" s="3"/>
      <c r="R7" s="109">
        <f t="shared" si="1"/>
        <v>5.9180201317611974E-10</v>
      </c>
      <c r="S7" s="3"/>
      <c r="T7" s="3"/>
      <c r="U7" s="109"/>
      <c r="V7" s="3"/>
      <c r="W7" s="143">
        <f t="shared" si="2"/>
        <v>0</v>
      </c>
      <c r="X7" s="121"/>
    </row>
    <row r="8" spans="1:24" x14ac:dyDescent="0.25">
      <c r="A8" t="s">
        <v>77</v>
      </c>
      <c r="B8" t="s">
        <v>18</v>
      </c>
      <c r="C8" s="115">
        <v>6</v>
      </c>
      <c r="G8" s="3"/>
      <c r="H8" s="3"/>
      <c r="I8" s="3"/>
      <c r="J8" s="3"/>
      <c r="K8" s="3"/>
      <c r="L8" s="3"/>
      <c r="M8" s="121"/>
      <c r="O8" s="115">
        <v>6</v>
      </c>
      <c r="P8" s="109">
        <f t="shared" si="3"/>
        <v>0</v>
      </c>
      <c r="Q8" s="3"/>
      <c r="R8" s="109">
        <f t="shared" si="1"/>
        <v>0</v>
      </c>
      <c r="S8" s="3"/>
      <c r="T8" s="3"/>
      <c r="U8" s="109"/>
      <c r="V8" s="3"/>
      <c r="W8" s="143">
        <f t="shared" si="2"/>
        <v>0</v>
      </c>
      <c r="X8" s="121"/>
    </row>
    <row r="9" spans="1:24" ht="15.75" thickBot="1" x14ac:dyDescent="0.3">
      <c r="A9" t="s">
        <v>78</v>
      </c>
      <c r="B9" t="s">
        <v>13</v>
      </c>
      <c r="C9" s="116">
        <v>7</v>
      </c>
      <c r="D9" s="6"/>
      <c r="E9" s="7"/>
      <c r="F9" s="7"/>
      <c r="G9" s="7"/>
      <c r="H9" s="7"/>
      <c r="I9" s="7"/>
      <c r="J9" s="7"/>
      <c r="K9" s="7"/>
      <c r="L9" s="7"/>
      <c r="M9" s="122"/>
      <c r="O9" s="116">
        <v>7</v>
      </c>
      <c r="P9" s="109">
        <f t="shared" si="3"/>
        <v>0</v>
      </c>
      <c r="Q9" s="7"/>
      <c r="R9" s="109">
        <f t="shared" si="1"/>
        <v>0</v>
      </c>
      <c r="S9" s="7"/>
      <c r="T9" s="7"/>
      <c r="U9" s="127"/>
      <c r="V9" s="7"/>
      <c r="W9" s="143">
        <f t="shared" si="2"/>
        <v>0</v>
      </c>
      <c r="X9" s="122"/>
    </row>
    <row r="10" spans="1:24" ht="15.75" thickBot="1" x14ac:dyDescent="0.3">
      <c r="C10" s="138" t="s">
        <v>60</v>
      </c>
      <c r="D10" s="165">
        <f>AVERAGE(D3:D7)</f>
        <v>11859.6</v>
      </c>
      <c r="E10" s="135"/>
      <c r="F10" s="136">
        <f>AVERAGE(F3:F7)</f>
        <v>4.5999999999999996</v>
      </c>
      <c r="G10" s="135"/>
      <c r="H10" s="135"/>
      <c r="I10" s="135"/>
      <c r="J10" s="136" t="e">
        <f>AVERAGE(J3:J9)</f>
        <v>#DIV/0!</v>
      </c>
      <c r="K10" s="135"/>
      <c r="L10" s="141" t="e">
        <f>AVERAGE(L3:L7)</f>
        <v>#DIV/0!</v>
      </c>
      <c r="M10" s="137"/>
      <c r="O10" s="138" t="s">
        <v>60</v>
      </c>
      <c r="P10" s="139">
        <f>AVERAGE(P3:P7)</f>
        <v>1.7727227969985151E-6</v>
      </c>
      <c r="Q10" s="135"/>
      <c r="R10" s="139">
        <f>AVERAGE(R3:R7)</f>
        <v>6.8057231515253762E-10</v>
      </c>
      <c r="S10" s="135"/>
      <c r="T10" s="135"/>
      <c r="U10" s="139" t="e">
        <f>AVERAGE(U3:U7)</f>
        <v>#DIV/0!</v>
      </c>
      <c r="V10" s="135"/>
      <c r="W10" s="144">
        <f>AVERAGE(W3:W7)</f>
        <v>0</v>
      </c>
      <c r="X10" s="137"/>
    </row>
    <row r="12" spans="1:24" ht="15.75" thickBot="1" x14ac:dyDescent="0.3"/>
    <row r="13" spans="1:24" ht="15.75" thickBot="1" x14ac:dyDescent="0.3">
      <c r="A13" s="8" t="s">
        <v>4</v>
      </c>
      <c r="B13" s="16" t="s">
        <v>14</v>
      </c>
      <c r="C13" s="9" t="s">
        <v>5</v>
      </c>
      <c r="F13" s="216" t="s">
        <v>87</v>
      </c>
      <c r="G13" s="216"/>
    </row>
    <row r="14" spans="1:24" x14ac:dyDescent="0.25">
      <c r="A14" s="4" t="s">
        <v>18</v>
      </c>
      <c r="B14" s="3" t="s">
        <v>15</v>
      </c>
      <c r="C14" s="29">
        <v>1.4947576621458694E-10</v>
      </c>
      <c r="E14">
        <v>1</v>
      </c>
      <c r="F14" t="e">
        <f>D3/I3</f>
        <v>#DIV/0!</v>
      </c>
    </row>
    <row r="15" spans="1:24" x14ac:dyDescent="0.25">
      <c r="A15" s="4" t="s">
        <v>19</v>
      </c>
      <c r="B15" s="3" t="s">
        <v>15</v>
      </c>
      <c r="C15" s="29">
        <f>(C14)*(C17/C16)</f>
        <v>1.5718070261740071E-10</v>
      </c>
      <c r="E15">
        <v>2</v>
      </c>
      <c r="F15" t="e">
        <f t="shared" ref="F15:F18" si="4">D4/I4</f>
        <v>#DIV/0!</v>
      </c>
    </row>
    <row r="16" spans="1:24" x14ac:dyDescent="0.25">
      <c r="A16" s="4" t="s">
        <v>6</v>
      </c>
      <c r="B16" s="3" t="s">
        <v>15</v>
      </c>
      <c r="C16" s="29">
        <f>(C14)*(0.97/0.98)</f>
        <v>1.4795050329402993E-10</v>
      </c>
      <c r="E16">
        <v>3</v>
      </c>
      <c r="F16" t="e">
        <f t="shared" si="4"/>
        <v>#DIV/0!</v>
      </c>
    </row>
    <row r="17" spans="1:6" x14ac:dyDescent="0.25">
      <c r="A17" s="5" t="s">
        <v>7</v>
      </c>
      <c r="B17" s="3" t="s">
        <v>15</v>
      </c>
      <c r="C17" s="29">
        <f>(C14)*(1.02/0.98)</f>
        <v>1.5557681789681499E-10</v>
      </c>
      <c r="E17">
        <v>4</v>
      </c>
      <c r="F17" t="e">
        <f t="shared" si="4"/>
        <v>#DIV/0!</v>
      </c>
    </row>
    <row r="18" spans="1:6" x14ac:dyDescent="0.25">
      <c r="A18" s="5" t="s">
        <v>10</v>
      </c>
      <c r="B18" s="3" t="s">
        <v>15</v>
      </c>
      <c r="C18" s="29">
        <f>C14*1.37</f>
        <v>2.0478179971398413E-10</v>
      </c>
      <c r="E18">
        <v>5</v>
      </c>
      <c r="F18" t="e">
        <f t="shared" si="4"/>
        <v>#DIV/0!</v>
      </c>
    </row>
    <row r="19" spans="1:6" x14ac:dyDescent="0.25">
      <c r="A19" s="5" t="s">
        <v>8</v>
      </c>
      <c r="B19" s="3" t="s">
        <v>16</v>
      </c>
      <c r="C19" s="29">
        <f>(38.3/33.5)*C22</f>
        <v>1.2722732422165167E-10</v>
      </c>
      <c r="E19" t="s">
        <v>93</v>
      </c>
      <c r="F19" t="e">
        <f>AVERAGE(F14:F18)</f>
        <v>#DIV/0!</v>
      </c>
    </row>
    <row r="20" spans="1:6" x14ac:dyDescent="0.25">
      <c r="A20" s="5" t="s">
        <v>9</v>
      </c>
      <c r="B20" s="3" t="s">
        <v>16</v>
      </c>
      <c r="C20" s="29">
        <f>(38.3/39.2)*C22</f>
        <v>1.0872743268942171E-10</v>
      </c>
    </row>
    <row r="21" spans="1:6" x14ac:dyDescent="0.25">
      <c r="A21" s="5" t="s">
        <v>12</v>
      </c>
      <c r="B21" s="3" t="s">
        <v>16</v>
      </c>
      <c r="C21" s="29">
        <v>1.2679079497666798E-10</v>
      </c>
    </row>
    <row r="22" spans="1:6" x14ac:dyDescent="0.25">
      <c r="A22" s="5" t="s">
        <v>13</v>
      </c>
      <c r="B22" s="3" t="s">
        <v>16</v>
      </c>
      <c r="C22" s="29">
        <v>1.1128238541580499E-10</v>
      </c>
    </row>
    <row r="23" spans="1:6" ht="15.75" thickBot="1" x14ac:dyDescent="0.3">
      <c r="A23" s="6" t="s">
        <v>11</v>
      </c>
      <c r="B23" s="7" t="s">
        <v>17</v>
      </c>
      <c r="C23" s="30">
        <v>9.8056356935757502E-11</v>
      </c>
    </row>
  </sheetData>
  <mergeCells count="3">
    <mergeCell ref="O1:X1"/>
    <mergeCell ref="A3:A5"/>
    <mergeCell ref="F13:G13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B5BFB-89A1-4761-A747-CED65CE25CA6}">
  <dimension ref="A1:X23"/>
  <sheetViews>
    <sheetView zoomScale="90" zoomScaleNormal="90" workbookViewId="0">
      <selection activeCell="F20" sqref="F20"/>
    </sheetView>
  </sheetViews>
  <sheetFormatPr defaultRowHeight="15" x14ac:dyDescent="0.25"/>
  <cols>
    <col min="1" max="1" width="20.7109375" bestFit="1" customWidth="1"/>
    <col min="3" max="3" width="12" bestFit="1" customWidth="1"/>
    <col min="4" max="4" width="13.28515625" bestFit="1" customWidth="1"/>
    <col min="5" max="5" width="13.42578125" bestFit="1" customWidth="1"/>
    <col min="6" max="6" width="11.5703125" bestFit="1" customWidth="1"/>
    <col min="7" max="7" width="10.85546875" bestFit="1" customWidth="1"/>
    <col min="10" max="10" width="10.85546875" bestFit="1" customWidth="1"/>
    <col min="11" max="11" width="10.28515625" bestFit="1" customWidth="1"/>
    <col min="12" max="12" width="9.7109375" bestFit="1" customWidth="1"/>
    <col min="13" max="13" width="9.5703125" bestFit="1" customWidth="1"/>
    <col min="16" max="16" width="13.28515625" bestFit="1" customWidth="1"/>
    <col min="17" max="17" width="13.42578125" bestFit="1" customWidth="1"/>
    <col min="18" max="18" width="11.28515625" bestFit="1" customWidth="1"/>
    <col min="19" max="19" width="10.85546875" bestFit="1" customWidth="1"/>
    <col min="21" max="21" width="11.28515625" bestFit="1" customWidth="1"/>
    <col min="22" max="22" width="10.28515625" bestFit="1" customWidth="1"/>
    <col min="23" max="23" width="11.28515625" bestFit="1" customWidth="1"/>
  </cols>
  <sheetData>
    <row r="1" spans="1:24" ht="15.75" thickBot="1" x14ac:dyDescent="0.3">
      <c r="C1" s="113" t="s">
        <v>55</v>
      </c>
      <c r="D1" s="110">
        <v>4.5999999999999996</v>
      </c>
      <c r="E1" s="110"/>
      <c r="F1" s="110">
        <v>3.1</v>
      </c>
      <c r="G1" s="110"/>
      <c r="H1" s="110"/>
      <c r="I1" s="110"/>
      <c r="J1" s="110">
        <v>2.5</v>
      </c>
      <c r="K1" s="110"/>
      <c r="L1" s="110">
        <v>6.6</v>
      </c>
      <c r="M1" s="110"/>
      <c r="O1" s="213" t="s">
        <v>57</v>
      </c>
      <c r="P1" s="213"/>
      <c r="Q1" s="213"/>
      <c r="R1" s="213"/>
      <c r="S1" s="213"/>
      <c r="T1" s="213"/>
      <c r="U1" s="213"/>
      <c r="V1" s="213"/>
      <c r="W1" s="213"/>
      <c r="X1" s="213"/>
    </row>
    <row r="2" spans="1:24" ht="15.75" thickBot="1" x14ac:dyDescent="0.3">
      <c r="A2" s="114" t="s">
        <v>61</v>
      </c>
      <c r="C2" s="117" t="s">
        <v>56</v>
      </c>
      <c r="D2" s="111" t="s">
        <v>40</v>
      </c>
      <c r="E2" s="111" t="s">
        <v>41</v>
      </c>
      <c r="F2" s="111" t="s">
        <v>42</v>
      </c>
      <c r="G2" s="111" t="s">
        <v>43</v>
      </c>
      <c r="H2" s="111" t="s">
        <v>44</v>
      </c>
      <c r="I2" s="111" t="s">
        <v>13</v>
      </c>
      <c r="J2" s="111" t="s">
        <v>45</v>
      </c>
      <c r="K2" s="111" t="s">
        <v>46</v>
      </c>
      <c r="L2" s="111" t="s">
        <v>47</v>
      </c>
      <c r="M2" s="112" t="s">
        <v>48</v>
      </c>
      <c r="O2" s="114" t="s">
        <v>56</v>
      </c>
      <c r="P2" s="124" t="s">
        <v>40</v>
      </c>
      <c r="Q2" s="124" t="s">
        <v>41</v>
      </c>
      <c r="R2" s="124" t="s">
        <v>42</v>
      </c>
      <c r="S2" s="124" t="s">
        <v>43</v>
      </c>
      <c r="T2" s="124" t="s">
        <v>44</v>
      </c>
      <c r="U2" s="124" t="s">
        <v>45</v>
      </c>
      <c r="V2" s="124" t="s">
        <v>46</v>
      </c>
      <c r="W2" s="124" t="s">
        <v>47</v>
      </c>
      <c r="X2" s="125" t="s">
        <v>48</v>
      </c>
    </row>
    <row r="3" spans="1:24" ht="15" customHeight="1" x14ac:dyDescent="0.25">
      <c r="A3" s="214" t="s">
        <v>71</v>
      </c>
      <c r="C3" s="115">
        <v>1</v>
      </c>
      <c r="D3" s="118">
        <v>5967</v>
      </c>
      <c r="E3" s="119"/>
      <c r="F3" s="119">
        <v>5</v>
      </c>
      <c r="G3" s="119"/>
      <c r="H3" s="119"/>
      <c r="I3" s="119">
        <v>64684</v>
      </c>
      <c r="J3" s="119"/>
      <c r="K3" s="119"/>
      <c r="L3" s="119"/>
      <c r="M3" s="120"/>
      <c r="O3" s="95">
        <v>1</v>
      </c>
      <c r="P3" s="126">
        <f>D3*$C$14</f>
        <v>8.9192189700244031E-7</v>
      </c>
      <c r="Q3" s="119"/>
      <c r="R3" s="126">
        <f>F3*$C$16</f>
        <v>7.3975251647014964E-10</v>
      </c>
      <c r="S3" s="119"/>
      <c r="T3" s="119"/>
      <c r="U3" s="126"/>
      <c r="V3" s="119"/>
      <c r="W3" s="142">
        <f>L3*C21</f>
        <v>0</v>
      </c>
      <c r="X3" s="120"/>
    </row>
    <row r="4" spans="1:24" ht="14.25" customHeight="1" x14ac:dyDescent="0.25">
      <c r="A4" s="214"/>
      <c r="C4" s="115">
        <v>2</v>
      </c>
      <c r="D4" s="5">
        <v>5947</v>
      </c>
      <c r="E4" s="3"/>
      <c r="F4" s="3">
        <v>5</v>
      </c>
      <c r="G4" s="3"/>
      <c r="H4" s="3"/>
      <c r="I4" s="3">
        <v>65944</v>
      </c>
      <c r="J4" s="3"/>
      <c r="K4" s="3"/>
      <c r="L4" s="3"/>
      <c r="M4" s="121"/>
      <c r="O4" s="115">
        <v>2</v>
      </c>
      <c r="P4" s="109">
        <f t="shared" ref="P4:P5" si="0">D4*$C$14</f>
        <v>8.8893238167814857E-7</v>
      </c>
      <c r="Q4" s="3"/>
      <c r="R4" s="109">
        <f t="shared" ref="R4:R9" si="1">F4*$C$16</f>
        <v>7.3975251647014964E-10</v>
      </c>
      <c r="S4" s="3"/>
      <c r="T4" s="3"/>
      <c r="U4" s="109"/>
      <c r="V4" s="3"/>
      <c r="W4" s="143">
        <f t="shared" ref="W4:W9" si="2">L4*C22</f>
        <v>0</v>
      </c>
      <c r="X4" s="121"/>
    </row>
    <row r="5" spans="1:24" ht="15.75" thickBot="1" x14ac:dyDescent="0.3">
      <c r="A5" s="215"/>
      <c r="C5" s="115">
        <v>3</v>
      </c>
      <c r="D5" s="5">
        <v>5989</v>
      </c>
      <c r="E5" s="3"/>
      <c r="F5" s="3">
        <v>2</v>
      </c>
      <c r="G5" s="3"/>
      <c r="H5" s="3"/>
      <c r="I5" s="3">
        <v>67940</v>
      </c>
      <c r="J5" s="3"/>
      <c r="K5" s="3"/>
      <c r="L5" s="3"/>
      <c r="M5" s="121"/>
      <c r="O5" s="115">
        <v>3</v>
      </c>
      <c r="P5" s="109">
        <f t="shared" si="0"/>
        <v>8.9521036385916122E-7</v>
      </c>
      <c r="Q5" s="3"/>
      <c r="R5" s="109">
        <f t="shared" si="1"/>
        <v>2.9590100658805987E-10</v>
      </c>
      <c r="S5" s="3"/>
      <c r="T5" s="3"/>
      <c r="U5" s="109"/>
      <c r="V5" s="3"/>
      <c r="W5" s="143">
        <f t="shared" si="2"/>
        <v>0</v>
      </c>
      <c r="X5" s="121"/>
    </row>
    <row r="6" spans="1:24" x14ac:dyDescent="0.25">
      <c r="C6" s="115">
        <v>4</v>
      </c>
      <c r="D6" s="5">
        <v>6198</v>
      </c>
      <c r="E6" s="3"/>
      <c r="F6" s="3">
        <v>2</v>
      </c>
      <c r="G6" s="3"/>
      <c r="H6" s="3"/>
      <c r="I6" s="3">
        <v>63759</v>
      </c>
      <c r="J6" s="3"/>
      <c r="K6" s="3"/>
      <c r="L6" s="3"/>
      <c r="M6" s="121"/>
      <c r="O6" s="115">
        <v>4</v>
      </c>
      <c r="P6" s="109">
        <f>D6*$C$14</f>
        <v>9.2645079899800987E-7</v>
      </c>
      <c r="Q6" s="3"/>
      <c r="R6" s="109">
        <f t="shared" si="1"/>
        <v>2.9590100658805987E-10</v>
      </c>
      <c r="S6" s="3"/>
      <c r="T6" s="3"/>
      <c r="U6" s="109"/>
      <c r="V6" s="3"/>
      <c r="W6" s="143">
        <f t="shared" si="2"/>
        <v>0</v>
      </c>
      <c r="X6" s="121"/>
    </row>
    <row r="7" spans="1:24" x14ac:dyDescent="0.25">
      <c r="A7">
        <v>0</v>
      </c>
      <c r="B7" t="s">
        <v>12</v>
      </c>
      <c r="C7" s="115">
        <v>5</v>
      </c>
      <c r="D7" s="5">
        <v>6106</v>
      </c>
      <c r="E7" s="3"/>
      <c r="F7" s="3">
        <v>2</v>
      </c>
      <c r="G7" s="3"/>
      <c r="H7" s="3"/>
      <c r="I7" s="3">
        <v>65210</v>
      </c>
      <c r="J7" s="3"/>
      <c r="K7" s="3"/>
      <c r="L7" s="3"/>
      <c r="M7" s="121"/>
      <c r="O7" s="115">
        <v>5</v>
      </c>
      <c r="P7" s="109">
        <f t="shared" ref="P7:P9" si="3">D7*$C$14</f>
        <v>9.1269902850626792E-7</v>
      </c>
      <c r="Q7" s="3"/>
      <c r="R7" s="109">
        <f t="shared" si="1"/>
        <v>2.9590100658805987E-10</v>
      </c>
      <c r="S7" s="3"/>
      <c r="T7" s="3"/>
      <c r="U7" s="109"/>
      <c r="V7" s="3"/>
      <c r="W7" s="143">
        <f t="shared" si="2"/>
        <v>0</v>
      </c>
      <c r="X7" s="121"/>
    </row>
    <row r="8" spans="1:24" x14ac:dyDescent="0.25">
      <c r="A8" t="s">
        <v>77</v>
      </c>
      <c r="B8" t="s">
        <v>18</v>
      </c>
      <c r="C8" s="115">
        <v>6</v>
      </c>
      <c r="G8" s="3"/>
      <c r="H8" s="3"/>
      <c r="I8" s="3"/>
      <c r="J8" s="3"/>
      <c r="K8" s="3"/>
      <c r="L8" s="3"/>
      <c r="M8" s="121"/>
      <c r="O8" s="115">
        <v>6</v>
      </c>
      <c r="P8" s="109">
        <f t="shared" si="3"/>
        <v>0</v>
      </c>
      <c r="Q8" s="3"/>
      <c r="R8" s="109">
        <f t="shared" si="1"/>
        <v>0</v>
      </c>
      <c r="S8" s="3"/>
      <c r="T8" s="3"/>
      <c r="U8" s="109"/>
      <c r="V8" s="3"/>
      <c r="W8" s="143">
        <f t="shared" si="2"/>
        <v>0</v>
      </c>
      <c r="X8" s="121"/>
    </row>
    <row r="9" spans="1:24" ht="15.75" thickBot="1" x14ac:dyDescent="0.3">
      <c r="A9" t="s">
        <v>78</v>
      </c>
      <c r="B9" t="s">
        <v>13</v>
      </c>
      <c r="C9" s="116">
        <v>7</v>
      </c>
      <c r="D9" s="6"/>
      <c r="E9" s="7"/>
      <c r="F9" s="7"/>
      <c r="G9" s="7"/>
      <c r="H9" s="7"/>
      <c r="I9" s="7"/>
      <c r="J9" s="7"/>
      <c r="K9" s="7"/>
      <c r="L9" s="7"/>
      <c r="M9" s="122"/>
      <c r="O9" s="116">
        <v>7</v>
      </c>
      <c r="P9" s="109">
        <f t="shared" si="3"/>
        <v>0</v>
      </c>
      <c r="Q9" s="7"/>
      <c r="R9" s="109">
        <f t="shared" si="1"/>
        <v>0</v>
      </c>
      <c r="S9" s="7"/>
      <c r="T9" s="7"/>
      <c r="U9" s="127"/>
      <c r="V9" s="7"/>
      <c r="W9" s="143">
        <f t="shared" si="2"/>
        <v>0</v>
      </c>
      <c r="X9" s="122"/>
    </row>
    <row r="10" spans="1:24" ht="15.75" thickBot="1" x14ac:dyDescent="0.3">
      <c r="C10" s="138" t="s">
        <v>60</v>
      </c>
      <c r="D10" s="165">
        <f>AVERAGE(D3:D7)</f>
        <v>6041.4</v>
      </c>
      <c r="E10" s="135"/>
      <c r="F10" s="136">
        <f>AVERAGE(F3:F7)</f>
        <v>3.2</v>
      </c>
      <c r="G10" s="135"/>
      <c r="H10" s="135"/>
      <c r="I10" s="135"/>
      <c r="J10" s="136" t="e">
        <f>AVERAGE(J3:J9)</f>
        <v>#DIV/0!</v>
      </c>
      <c r="K10" s="135"/>
      <c r="L10" s="141" t="e">
        <f>AVERAGE(L3:L7)</f>
        <v>#DIV/0!</v>
      </c>
      <c r="M10" s="137"/>
      <c r="O10" s="138" t="s">
        <v>60</v>
      </c>
      <c r="P10" s="139">
        <f>AVERAGE(P3:P7)</f>
        <v>9.0304289400880558E-7</v>
      </c>
      <c r="Q10" s="135"/>
      <c r="R10" s="139">
        <f>AVERAGE(R3:R7)</f>
        <v>4.7344161054089579E-10</v>
      </c>
      <c r="S10" s="135"/>
      <c r="T10" s="135"/>
      <c r="U10" s="139" t="e">
        <f>AVERAGE(U3:U7)</f>
        <v>#DIV/0!</v>
      </c>
      <c r="V10" s="135"/>
      <c r="W10" s="144">
        <f>AVERAGE(W3:W7)</f>
        <v>0</v>
      </c>
      <c r="X10" s="137"/>
    </row>
    <row r="12" spans="1:24" ht="15.75" thickBot="1" x14ac:dyDescent="0.3"/>
    <row r="13" spans="1:24" ht="15.75" thickBot="1" x14ac:dyDescent="0.3">
      <c r="A13" s="8" t="s">
        <v>4</v>
      </c>
      <c r="B13" s="16" t="s">
        <v>14</v>
      </c>
      <c r="C13" s="9" t="s">
        <v>5</v>
      </c>
      <c r="F13" s="216" t="s">
        <v>87</v>
      </c>
      <c r="G13" s="216"/>
    </row>
    <row r="14" spans="1:24" x14ac:dyDescent="0.25">
      <c r="A14" s="4" t="s">
        <v>18</v>
      </c>
      <c r="B14" s="3" t="s">
        <v>15</v>
      </c>
      <c r="C14" s="29">
        <v>1.4947576621458694E-10</v>
      </c>
      <c r="E14">
        <v>1</v>
      </c>
      <c r="F14">
        <f>D3/I3</f>
        <v>9.2248469482406781E-2</v>
      </c>
    </row>
    <row r="15" spans="1:24" x14ac:dyDescent="0.25">
      <c r="A15" s="4" t="s">
        <v>19</v>
      </c>
      <c r="B15" s="3" t="s">
        <v>15</v>
      </c>
      <c r="C15" s="29">
        <f>(C14)*(C17/C16)</f>
        <v>1.5718070261740071E-10</v>
      </c>
      <c r="E15">
        <v>2</v>
      </c>
      <c r="F15">
        <f t="shared" ref="F15:F18" si="4">D4/I4</f>
        <v>9.0182579158073511E-2</v>
      </c>
    </row>
    <row r="16" spans="1:24" x14ac:dyDescent="0.25">
      <c r="A16" s="4" t="s">
        <v>6</v>
      </c>
      <c r="B16" s="3" t="s">
        <v>15</v>
      </c>
      <c r="C16" s="29">
        <f>(C14)*(0.97/0.98)</f>
        <v>1.4795050329402993E-10</v>
      </c>
      <c r="E16">
        <v>3</v>
      </c>
      <c r="F16">
        <f t="shared" si="4"/>
        <v>8.8151309979393577E-2</v>
      </c>
    </row>
    <row r="17" spans="1:6" x14ac:dyDescent="0.25">
      <c r="A17" s="5" t="s">
        <v>7</v>
      </c>
      <c r="B17" s="3" t="s">
        <v>15</v>
      </c>
      <c r="C17" s="29">
        <f>(C14)*(1.02/0.98)</f>
        <v>1.5557681789681499E-10</v>
      </c>
      <c r="E17">
        <v>4</v>
      </c>
      <c r="F17">
        <f t="shared" si="4"/>
        <v>9.7209805674493013E-2</v>
      </c>
    </row>
    <row r="18" spans="1:6" x14ac:dyDescent="0.25">
      <c r="A18" s="5" t="s">
        <v>10</v>
      </c>
      <c r="B18" s="3" t="s">
        <v>15</v>
      </c>
      <c r="C18" s="29">
        <f>C14*1.37</f>
        <v>2.0478179971398413E-10</v>
      </c>
      <c r="E18">
        <v>5</v>
      </c>
      <c r="F18">
        <f t="shared" si="4"/>
        <v>9.3635945407146148E-2</v>
      </c>
    </row>
    <row r="19" spans="1:6" x14ac:dyDescent="0.25">
      <c r="A19" s="5" t="s">
        <v>8</v>
      </c>
      <c r="B19" s="3" t="s">
        <v>16</v>
      </c>
      <c r="C19" s="29">
        <f>(38.3/33.5)*C22</f>
        <v>1.2722732422165167E-10</v>
      </c>
      <c r="E19" t="s">
        <v>93</v>
      </c>
      <c r="F19">
        <f>AVERAGE(F14:F18)</f>
        <v>9.2285621940302612E-2</v>
      </c>
    </row>
    <row r="20" spans="1:6" x14ac:dyDescent="0.25">
      <c r="A20" s="5" t="s">
        <v>9</v>
      </c>
      <c r="B20" s="3" t="s">
        <v>16</v>
      </c>
      <c r="C20" s="29">
        <f>(38.3/39.2)*C22</f>
        <v>1.0872743268942171E-10</v>
      </c>
    </row>
    <row r="21" spans="1:6" x14ac:dyDescent="0.25">
      <c r="A21" s="5" t="s">
        <v>12</v>
      </c>
      <c r="B21" s="3" t="s">
        <v>16</v>
      </c>
      <c r="C21" s="29">
        <v>1.2679079497666798E-10</v>
      </c>
    </row>
    <row r="22" spans="1:6" x14ac:dyDescent="0.25">
      <c r="A22" s="5" t="s">
        <v>13</v>
      </c>
      <c r="B22" s="3" t="s">
        <v>16</v>
      </c>
      <c r="C22" s="29">
        <v>1.1128238541580499E-10</v>
      </c>
    </row>
    <row r="23" spans="1:6" ht="15.75" thickBot="1" x14ac:dyDescent="0.3">
      <c r="A23" s="6" t="s">
        <v>11</v>
      </c>
      <c r="B23" s="7" t="s">
        <v>17</v>
      </c>
      <c r="C23" s="30">
        <v>9.8056356935757502E-11</v>
      </c>
    </row>
  </sheetData>
  <mergeCells count="3">
    <mergeCell ref="O1:X1"/>
    <mergeCell ref="A3:A5"/>
    <mergeCell ref="F13:G13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C795D-8DAB-43A5-BB5E-9EC55712C7A1}">
  <dimension ref="A1:BJ43"/>
  <sheetViews>
    <sheetView topLeftCell="P1" zoomScale="75" zoomScaleNormal="75" workbookViewId="0">
      <selection activeCell="AD3" sqref="AD3:AD4"/>
    </sheetView>
  </sheetViews>
  <sheetFormatPr defaultRowHeight="15" x14ac:dyDescent="0.25"/>
  <cols>
    <col min="2" max="2" width="18.5703125" bestFit="1" customWidth="1"/>
    <col min="3" max="3" width="22.42578125" bestFit="1" customWidth="1"/>
    <col min="4" max="4" width="13.5703125" customWidth="1"/>
    <col min="5" max="5" width="14.7109375" bestFit="1" customWidth="1"/>
    <col min="6" max="6" width="22.42578125" style="3" bestFit="1" customWidth="1"/>
    <col min="7" max="7" width="10.42578125" style="3" customWidth="1"/>
    <col min="8" max="8" width="13.285156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4" width="12.5703125" style="2" customWidth="1"/>
    <col min="15" max="15" width="21.7109375" style="2" bestFit="1" customWidth="1"/>
    <col min="16" max="16" width="11" style="2" customWidth="1"/>
    <col min="17" max="17" width="10.28515625" style="2" bestFit="1" customWidth="1"/>
    <col min="18" max="18" width="12.28515625" style="2" customWidth="1"/>
    <col min="19" max="19" width="15.7109375" style="2" customWidth="1"/>
    <col min="20" max="20" width="14.85546875" customWidth="1"/>
    <col min="21" max="21" width="11.5703125" bestFit="1" customWidth="1"/>
    <col min="22" max="22" width="15.7109375" bestFit="1" customWidth="1"/>
    <col min="23" max="23" width="17" customWidth="1"/>
    <col min="24" max="24" width="11.5703125" bestFit="1" customWidth="1"/>
    <col min="25" max="26" width="11.85546875" customWidth="1"/>
    <col min="27" max="29" width="11.5703125" bestFit="1" customWidth="1"/>
    <col min="30" max="30" width="11.5703125" customWidth="1"/>
    <col min="31" max="31" width="15.5703125" customWidth="1"/>
    <col min="32" max="32" width="9.5703125" style="3" bestFit="1" customWidth="1"/>
    <col min="33" max="33" width="9.28515625" style="3" bestFit="1" customWidth="1"/>
    <col min="34" max="36" width="9.5703125" style="3" bestFit="1" customWidth="1"/>
    <col min="37" max="38" width="9.5703125" style="3" customWidth="1"/>
    <col min="39" max="39" width="9.140625" style="3"/>
    <col min="40" max="40" width="9.85546875" style="3" bestFit="1" customWidth="1"/>
    <col min="41" max="41" width="9.85546875" style="3" customWidth="1"/>
    <col min="42" max="42" width="9.85546875" style="3" bestFit="1" customWidth="1"/>
    <col min="43" max="43" width="10.7109375" style="3" bestFit="1" customWidth="1"/>
    <col min="44" max="46" width="10.7109375" style="3" customWidth="1"/>
    <col min="47" max="47" width="9.5703125" style="3" bestFit="1" customWidth="1"/>
    <col min="48" max="48" width="15.5703125" bestFit="1" customWidth="1"/>
    <col min="61" max="61" width="17.85546875" bestFit="1" customWidth="1"/>
    <col min="62" max="62" width="18.42578125" bestFit="1" customWidth="1"/>
  </cols>
  <sheetData>
    <row r="1" spans="1:62" ht="15.75" thickBot="1" x14ac:dyDescent="0.3"/>
    <row r="2" spans="1:62" ht="15.75" thickBot="1" x14ac:dyDescent="0.3">
      <c r="G2" s="217" t="s">
        <v>76</v>
      </c>
      <c r="H2" s="218"/>
      <c r="I2" s="157">
        <v>4.7</v>
      </c>
      <c r="J2" s="156">
        <v>4.5</v>
      </c>
      <c r="K2" s="156">
        <v>3.1</v>
      </c>
      <c r="L2" s="156">
        <v>2.9</v>
      </c>
      <c r="M2" s="158">
        <v>2.7</v>
      </c>
      <c r="N2" s="156"/>
      <c r="O2" s="159">
        <v>2.7</v>
      </c>
      <c r="P2" s="159">
        <v>4.5</v>
      </c>
      <c r="Q2" s="159">
        <v>2.2000000000000002</v>
      </c>
      <c r="R2" s="161">
        <v>1.6</v>
      </c>
      <c r="S2" s="160">
        <v>1.3</v>
      </c>
    </row>
    <row r="3" spans="1:62" ht="15.75" thickBot="1" x14ac:dyDescent="0.3">
      <c r="B3" s="10" t="s">
        <v>0</v>
      </c>
      <c r="C3" s="47">
        <v>44901</v>
      </c>
      <c r="G3" s="224" t="s">
        <v>30</v>
      </c>
      <c r="H3" s="224" t="s">
        <v>33</v>
      </c>
      <c r="I3" s="232" t="s">
        <v>31</v>
      </c>
      <c r="J3" s="232"/>
      <c r="K3" s="232"/>
      <c r="L3" s="232"/>
      <c r="M3" s="232"/>
      <c r="N3" s="232"/>
      <c r="O3" s="232"/>
      <c r="P3" s="232"/>
      <c r="Q3" s="232"/>
      <c r="R3" s="232"/>
      <c r="S3" s="233"/>
      <c r="T3" s="211" t="s">
        <v>52</v>
      </c>
      <c r="U3" s="211"/>
      <c r="V3" s="211"/>
      <c r="W3" s="211"/>
      <c r="X3" s="211"/>
      <c r="Y3" s="211"/>
      <c r="Z3" s="211"/>
      <c r="AA3" s="211"/>
      <c r="AB3" s="211"/>
      <c r="AC3" s="212"/>
      <c r="AD3" s="227" t="s">
        <v>94</v>
      </c>
      <c r="AE3" s="227" t="s">
        <v>34</v>
      </c>
      <c r="AF3" s="217" t="s">
        <v>73</v>
      </c>
      <c r="AG3" s="226"/>
      <c r="AH3" s="226"/>
      <c r="AI3" s="226"/>
      <c r="AJ3" s="226"/>
      <c r="AK3" s="226"/>
      <c r="AL3" s="226"/>
      <c r="AM3" s="226"/>
      <c r="AN3" s="224" t="s">
        <v>74</v>
      </c>
      <c r="AO3" s="224" t="s">
        <v>84</v>
      </c>
      <c r="AP3" s="224" t="s">
        <v>75</v>
      </c>
      <c r="AQ3" s="239" t="s">
        <v>80</v>
      </c>
      <c r="AR3" s="224" t="s">
        <v>81</v>
      </c>
      <c r="AS3" s="241" t="s">
        <v>82</v>
      </c>
      <c r="AT3" s="200"/>
      <c r="AU3" s="227" t="s">
        <v>36</v>
      </c>
      <c r="AV3" s="224" t="s">
        <v>49</v>
      </c>
      <c r="AW3" s="217" t="s">
        <v>95</v>
      </c>
      <c r="AX3" s="226"/>
      <c r="AY3" s="226"/>
      <c r="AZ3" s="226"/>
      <c r="BA3" s="226"/>
      <c r="BB3" s="218"/>
      <c r="BC3" s="217" t="s">
        <v>51</v>
      </c>
      <c r="BD3" s="226"/>
      <c r="BE3" s="226"/>
      <c r="BF3" s="226"/>
      <c r="BG3" s="226"/>
      <c r="BH3" s="218"/>
      <c r="BI3" s="224" t="s">
        <v>53</v>
      </c>
      <c r="BJ3" s="219" t="s">
        <v>54</v>
      </c>
    </row>
    <row r="4" spans="1:62" ht="15.75" thickBot="1" x14ac:dyDescent="0.3">
      <c r="B4" s="11" t="s">
        <v>1</v>
      </c>
      <c r="C4" s="48" t="s">
        <v>79</v>
      </c>
      <c r="E4" s="1"/>
      <c r="G4" s="225"/>
      <c r="H4" s="225"/>
      <c r="I4" s="19" t="s">
        <v>40</v>
      </c>
      <c r="J4" s="20" t="s">
        <v>41</v>
      </c>
      <c r="K4" s="20" t="s">
        <v>42</v>
      </c>
      <c r="L4" s="20" t="s">
        <v>43</v>
      </c>
      <c r="M4" s="20" t="s">
        <v>70</v>
      </c>
      <c r="N4" s="20" t="s">
        <v>85</v>
      </c>
      <c r="O4" s="20" t="s">
        <v>45</v>
      </c>
      <c r="P4" s="20" t="s">
        <v>72</v>
      </c>
      <c r="Q4" s="20" t="s">
        <v>46</v>
      </c>
      <c r="R4" s="20" t="s">
        <v>47</v>
      </c>
      <c r="S4" s="31" t="s">
        <v>48</v>
      </c>
      <c r="T4" s="19" t="s">
        <v>18</v>
      </c>
      <c r="U4" s="20" t="s">
        <v>19</v>
      </c>
      <c r="V4" s="20" t="s">
        <v>6</v>
      </c>
      <c r="W4" s="20" t="s">
        <v>7</v>
      </c>
      <c r="X4" s="20" t="s">
        <v>10</v>
      </c>
      <c r="Y4" s="20" t="s">
        <v>8</v>
      </c>
      <c r="Z4" s="20" t="s">
        <v>68</v>
      </c>
      <c r="AA4" s="20" t="s">
        <v>9</v>
      </c>
      <c r="AB4" s="20" t="s">
        <v>12</v>
      </c>
      <c r="AC4" s="31" t="s">
        <v>11</v>
      </c>
      <c r="AD4" s="234"/>
      <c r="AE4" s="234"/>
      <c r="AF4" s="19" t="s">
        <v>37</v>
      </c>
      <c r="AG4" s="174" t="s">
        <v>38</v>
      </c>
      <c r="AH4" s="174" t="s">
        <v>39</v>
      </c>
      <c r="AI4" s="20" t="s">
        <v>10</v>
      </c>
      <c r="AJ4" s="174" t="s">
        <v>8</v>
      </c>
      <c r="AK4" s="20" t="s">
        <v>68</v>
      </c>
      <c r="AL4" s="174" t="s">
        <v>35</v>
      </c>
      <c r="AM4" s="20" t="s">
        <v>11</v>
      </c>
      <c r="AN4" s="225"/>
      <c r="AO4" s="225"/>
      <c r="AP4" s="225"/>
      <c r="AQ4" s="240"/>
      <c r="AR4" s="225"/>
      <c r="AS4" s="242"/>
      <c r="AT4" s="168"/>
      <c r="AU4" s="228"/>
      <c r="AV4" s="225"/>
      <c r="AW4" s="19" t="s">
        <v>37</v>
      </c>
      <c r="AX4" s="20" t="s">
        <v>38</v>
      </c>
      <c r="AY4" s="20" t="s">
        <v>39</v>
      </c>
      <c r="AZ4" s="20" t="s">
        <v>10</v>
      </c>
      <c r="BA4" s="20" t="s">
        <v>35</v>
      </c>
      <c r="BB4" s="31" t="s">
        <v>11</v>
      </c>
      <c r="BC4" s="19" t="s">
        <v>37</v>
      </c>
      <c r="BD4" s="20" t="s">
        <v>38</v>
      </c>
      <c r="BE4" s="20" t="s">
        <v>39</v>
      </c>
      <c r="BF4" s="20" t="s">
        <v>10</v>
      </c>
      <c r="BG4" s="20" t="s">
        <v>35</v>
      </c>
      <c r="BH4" s="31" t="s">
        <v>11</v>
      </c>
      <c r="BI4" s="225"/>
      <c r="BJ4" s="219"/>
    </row>
    <row r="5" spans="1:62" ht="15.75" thickBot="1" x14ac:dyDescent="0.3">
      <c r="B5" s="11" t="s">
        <v>2</v>
      </c>
      <c r="C5" s="94">
        <v>0.20019999999999999</v>
      </c>
      <c r="G5" s="58" t="s">
        <v>32</v>
      </c>
      <c r="H5" s="58"/>
      <c r="I5" s="57">
        <v>5989</v>
      </c>
      <c r="J5" s="78"/>
      <c r="K5" s="81">
        <v>3</v>
      </c>
      <c r="L5" s="59"/>
      <c r="M5" s="81"/>
      <c r="N5" s="81"/>
      <c r="O5" s="81"/>
      <c r="P5" s="59"/>
      <c r="Q5" s="81"/>
      <c r="R5" s="81"/>
      <c r="S5" s="60"/>
      <c r="T5" s="61">
        <f>I5*$D$9</f>
        <v>8.9521036385916122E-7</v>
      </c>
      <c r="U5" s="62">
        <f>J5*$D$10</f>
        <v>0</v>
      </c>
      <c r="V5" s="62">
        <f>K5*$D$11</f>
        <v>4.4385150988208983E-10</v>
      </c>
      <c r="W5" s="62">
        <f>L5*$D$12</f>
        <v>0</v>
      </c>
      <c r="X5" s="62">
        <f>M5*$D$13</f>
        <v>0</v>
      </c>
      <c r="Y5" s="62">
        <f t="shared" ref="Y5:Z7" si="0">O5*$D$14</f>
        <v>0</v>
      </c>
      <c r="Z5" s="62">
        <f t="shared" si="0"/>
        <v>0</v>
      </c>
      <c r="AA5" s="62">
        <f t="shared" ref="AA5:AA7" si="1">Q5*$D$15</f>
        <v>0</v>
      </c>
      <c r="AB5" s="62">
        <f t="shared" ref="AB5:AB17" si="2">R5*$D$16</f>
        <v>0</v>
      </c>
      <c r="AC5" s="63">
        <f t="shared" ref="AC5:AC17" si="3">S5*$D$19</f>
        <v>0</v>
      </c>
      <c r="AD5" s="63"/>
      <c r="AE5" s="64"/>
      <c r="AF5" s="66"/>
      <c r="AG5" s="58"/>
      <c r="AH5" s="58"/>
      <c r="AI5" s="67"/>
      <c r="AJ5" s="58"/>
      <c r="AK5" s="67"/>
      <c r="AL5" s="58"/>
      <c r="AM5" s="145"/>
      <c r="AN5" s="145"/>
      <c r="AO5" s="58"/>
      <c r="AP5" s="67"/>
      <c r="AQ5" s="172"/>
      <c r="AR5" s="172"/>
      <c r="AS5" s="173"/>
      <c r="AT5" s="173"/>
      <c r="AU5" s="58"/>
      <c r="AV5" s="104"/>
      <c r="AW5" s="50"/>
      <c r="AX5" s="103"/>
      <c r="AY5" s="103"/>
      <c r="AZ5" s="103"/>
      <c r="BA5" s="103"/>
      <c r="BB5" s="104"/>
      <c r="BC5" s="105"/>
      <c r="BD5" s="103"/>
      <c r="BE5" s="103"/>
      <c r="BF5" s="103"/>
      <c r="BG5" s="103"/>
      <c r="BH5" s="104"/>
      <c r="BI5" s="3"/>
    </row>
    <row r="6" spans="1:62" ht="15.75" thickBot="1" x14ac:dyDescent="0.3">
      <c r="B6" s="12" t="s">
        <v>3</v>
      </c>
      <c r="C6" s="46">
        <v>1</v>
      </c>
      <c r="G6" s="51" t="s">
        <v>32</v>
      </c>
      <c r="H6" s="57"/>
      <c r="I6" s="166">
        <v>6198</v>
      </c>
      <c r="J6" s="79"/>
      <c r="K6" s="82">
        <v>3</v>
      </c>
      <c r="L6" s="52"/>
      <c r="M6" s="82"/>
      <c r="N6" s="82"/>
      <c r="O6" s="82"/>
      <c r="P6" s="52"/>
      <c r="Q6" s="82"/>
      <c r="R6" s="82"/>
      <c r="S6" s="53"/>
      <c r="T6" s="54">
        <f>I6*$D$9</f>
        <v>9.2645079899800987E-7</v>
      </c>
      <c r="U6" s="162">
        <f t="shared" ref="U6:U28" si="4">J6*$D$10</f>
        <v>0</v>
      </c>
      <c r="V6" s="162">
        <f t="shared" ref="V6:V7" si="5">K6*$D$11</f>
        <v>4.4385150988208983E-10</v>
      </c>
      <c r="W6" s="162">
        <f t="shared" ref="W6:W28" si="6">L6*$D$12</f>
        <v>0</v>
      </c>
      <c r="X6" s="162">
        <f t="shared" ref="X6:X28" si="7">M6*$D$13</f>
        <v>0</v>
      </c>
      <c r="Y6" s="162">
        <f t="shared" si="0"/>
        <v>0</v>
      </c>
      <c r="Z6" s="62">
        <f t="shared" si="0"/>
        <v>0</v>
      </c>
      <c r="AA6" s="162">
        <f t="shared" si="1"/>
        <v>0</v>
      </c>
      <c r="AB6" s="162">
        <f t="shared" si="2"/>
        <v>0</v>
      </c>
      <c r="AC6" s="55">
        <f t="shared" si="3"/>
        <v>0</v>
      </c>
      <c r="AD6" s="55"/>
      <c r="AE6" s="49"/>
      <c r="AF6" s="57"/>
      <c r="AG6" s="51"/>
      <c r="AH6" s="51"/>
      <c r="AI6" s="150"/>
      <c r="AJ6" s="51"/>
      <c r="AK6" s="150"/>
      <c r="AL6" s="51"/>
      <c r="AM6" s="146"/>
      <c r="AN6" s="146"/>
      <c r="AO6" s="51"/>
      <c r="AP6" s="150"/>
      <c r="AQ6" s="68"/>
      <c r="AR6" s="68"/>
      <c r="AS6" s="77"/>
      <c r="AT6" s="150"/>
      <c r="AU6" s="51"/>
      <c r="AV6" s="107"/>
      <c r="AW6" s="76"/>
      <c r="AX6" s="106"/>
      <c r="AY6" s="106"/>
      <c r="AZ6" s="106"/>
      <c r="BA6" s="106"/>
      <c r="BB6" s="107"/>
      <c r="BC6" s="108"/>
      <c r="BD6" s="106"/>
      <c r="BE6" s="106"/>
      <c r="BF6" s="106"/>
      <c r="BG6" s="106"/>
      <c r="BH6" s="107"/>
      <c r="BI6" s="3"/>
    </row>
    <row r="7" spans="1:62" ht="15.75" thickBot="1" x14ac:dyDescent="0.3">
      <c r="E7" s="182"/>
      <c r="F7" s="183" t="s">
        <v>92</v>
      </c>
      <c r="G7" s="68" t="s">
        <v>32</v>
      </c>
      <c r="H7" s="76"/>
      <c r="I7" s="166">
        <v>6106</v>
      </c>
      <c r="J7" s="80"/>
      <c r="K7" s="83">
        <v>3</v>
      </c>
      <c r="L7" s="69"/>
      <c r="M7" s="83"/>
      <c r="N7" s="83"/>
      <c r="O7" s="83"/>
      <c r="P7" s="69"/>
      <c r="Q7" s="83"/>
      <c r="R7" s="83"/>
      <c r="S7" s="70"/>
      <c r="T7" s="71">
        <f t="shared" ref="T7:T28" si="8">I7*$D$9</f>
        <v>9.1269902850626792E-7</v>
      </c>
      <c r="U7" s="72">
        <f t="shared" si="4"/>
        <v>0</v>
      </c>
      <c r="V7" s="72">
        <f t="shared" si="5"/>
        <v>4.4385150988208983E-10</v>
      </c>
      <c r="W7" s="72">
        <f t="shared" si="6"/>
        <v>0</v>
      </c>
      <c r="X7" s="72">
        <f t="shared" si="7"/>
        <v>0</v>
      </c>
      <c r="Y7" s="72">
        <f t="shared" si="0"/>
        <v>0</v>
      </c>
      <c r="Z7" s="62">
        <f t="shared" si="0"/>
        <v>0</v>
      </c>
      <c r="AA7" s="72">
        <f t="shared" si="1"/>
        <v>0</v>
      </c>
      <c r="AB7" s="72">
        <f t="shared" si="2"/>
        <v>0</v>
      </c>
      <c r="AC7" s="73">
        <f t="shared" si="3"/>
        <v>0</v>
      </c>
      <c r="AD7" s="73"/>
      <c r="AE7" s="74"/>
      <c r="AF7" s="76"/>
      <c r="AG7" s="68"/>
      <c r="AH7" s="68"/>
      <c r="AI7" s="77"/>
      <c r="AJ7" s="68"/>
      <c r="AK7" s="77"/>
      <c r="AL7" s="68"/>
      <c r="AM7" s="147"/>
      <c r="AN7" s="147"/>
      <c r="AO7" s="68"/>
      <c r="AP7" s="77"/>
      <c r="AQ7" s="68"/>
      <c r="AR7" s="68"/>
      <c r="AS7" s="77"/>
      <c r="AT7" s="77"/>
      <c r="AU7" s="68"/>
      <c r="AV7" s="107"/>
      <c r="AW7" s="76"/>
      <c r="AX7" s="106"/>
      <c r="AY7" s="106"/>
      <c r="AZ7" s="106"/>
      <c r="BA7" s="106"/>
      <c r="BB7" s="107"/>
      <c r="BC7" s="108"/>
      <c r="BD7" s="106"/>
      <c r="BE7" s="106"/>
      <c r="BF7" s="106"/>
      <c r="BG7" s="106"/>
      <c r="BH7" s="107"/>
      <c r="BI7" s="3"/>
    </row>
    <row r="8" spans="1:62" ht="15.75" thickBot="1" x14ac:dyDescent="0.3">
      <c r="B8" s="8" t="s">
        <v>4</v>
      </c>
      <c r="C8" s="16" t="s">
        <v>14</v>
      </c>
      <c r="D8" s="9" t="s">
        <v>5</v>
      </c>
      <c r="F8" s="184">
        <f>I8/N8</f>
        <v>6.2481193957994827E-2</v>
      </c>
      <c r="G8" s="17">
        <v>1</v>
      </c>
      <c r="H8" s="17">
        <v>1</v>
      </c>
      <c r="I8" s="40">
        <v>4153</v>
      </c>
      <c r="J8" s="41">
        <v>284</v>
      </c>
      <c r="K8" s="41"/>
      <c r="L8" s="41"/>
      <c r="M8" s="41"/>
      <c r="N8" s="41">
        <v>66468</v>
      </c>
      <c r="O8" s="41">
        <v>314</v>
      </c>
      <c r="P8" s="41">
        <v>51</v>
      </c>
      <c r="Q8" s="41">
        <v>0</v>
      </c>
      <c r="R8" s="41">
        <v>0</v>
      </c>
      <c r="S8" s="42">
        <v>0</v>
      </c>
      <c r="T8" s="32">
        <f>I8*$D$9</f>
        <v>6.2077285708917961E-7</v>
      </c>
      <c r="U8" s="163">
        <f t="shared" si="4"/>
        <v>4.4639319543341804E-8</v>
      </c>
      <c r="V8" s="163">
        <f>K8*$D$11</f>
        <v>0</v>
      </c>
      <c r="W8" s="163">
        <f t="shared" si="6"/>
        <v>0</v>
      </c>
      <c r="X8" s="163">
        <f t="shared" si="7"/>
        <v>0</v>
      </c>
      <c r="Y8" s="163">
        <f>O8*$D$14</f>
        <v>3.9949379805598624E-8</v>
      </c>
      <c r="Z8" s="163">
        <f>P8*$D$17</f>
        <v>4.460908055521662E-9</v>
      </c>
      <c r="AA8" s="163">
        <f>Q8*$D$15</f>
        <v>0</v>
      </c>
      <c r="AB8" s="163">
        <f t="shared" si="2"/>
        <v>0</v>
      </c>
      <c r="AC8" s="33">
        <f t="shared" si="3"/>
        <v>0</v>
      </c>
      <c r="AD8" s="37">
        <f>(Branco!$F$19-MoVOx_N2N2!F8)/Branco!$F$19*100</f>
        <v>32.295852111813872</v>
      </c>
      <c r="AE8" s="37">
        <f>((Branco!$P$7-T8)/(Branco!$P$7))*100</f>
        <v>31.984932852931543</v>
      </c>
      <c r="AF8" s="39">
        <f t="shared" ref="AF8:AF28" si="9">(U8/SUM(U8,V8,W8,X8,Y8,Z8,AA8,AC8))*100</f>
        <v>50.128597805704665</v>
      </c>
      <c r="AG8" s="38">
        <v>0</v>
      </c>
      <c r="AH8" s="38">
        <f t="shared" ref="AH8:AH28" si="10">(W8/SUM(U8,V8,W8,X8,Y8,Z8,AA8,AC8))*100</f>
        <v>0</v>
      </c>
      <c r="AI8" s="23">
        <f t="shared" ref="AI8:AI28" si="11">(X8/SUM(U8,V8,W8,X8,Y8,Z8,AA8,AC8))*100</f>
        <v>0</v>
      </c>
      <c r="AJ8" s="38">
        <f t="shared" ref="AJ8:AJ28" si="12">(Y8/SUM(U8,V8,W8,X8,Y8,Z8,AA8,AC8))*100</f>
        <v>44.861938160096649</v>
      </c>
      <c r="AK8" s="23">
        <f t="shared" ref="AK8:AK28" si="13">(Z8/SUM(U8,V8,W8,X8,Y8,Z8,AA8,AC8))*100</f>
        <v>5.0094640341986905</v>
      </c>
      <c r="AL8" s="38">
        <f t="shared" ref="AL8:AL28" si="14">(AA8/SUM(U8,V8,W8,X8,Y8,Z8,AA8,AC8))*100</f>
        <v>0</v>
      </c>
      <c r="AM8" s="151">
        <f t="shared" ref="AM8:AM25" si="15">(AC8/SUM(U8,V8,W8,X8,Y8,Z8,AA8,AC8))*100</f>
        <v>0</v>
      </c>
      <c r="AN8" s="38">
        <f>(U8/(U8+(V8*2/3)+(W8*2/3)+(X8*1/3)+(Y8*1/3)+(AA8*1/3)))*100</f>
        <v>77.023068182302538</v>
      </c>
      <c r="AO8" s="38">
        <f t="shared" ref="AO8:AO28" si="16">(V8/(AVERAGE($T$5:$T$7)-T8))*100*2/3</f>
        <v>0</v>
      </c>
      <c r="AP8" s="23">
        <f t="shared" ref="AP8:AP28" si="17">(W8/(AVERAGE($T$5:$T$7)-T8))*100*(2/3)</f>
        <v>0</v>
      </c>
      <c r="AQ8" s="38">
        <f>(Y8/(SUM(U8*3)+(V8*2)+(W8*2)+(X8)+Y8+AA8))*100</f>
        <v>22.976931817697459</v>
      </c>
      <c r="AR8" s="38">
        <f>(AA8/(SUM(V8*2)+(W8*2)+(X8)+(Y8)+(U8*3)+AA8)*100)</f>
        <v>0</v>
      </c>
      <c r="AS8" s="38">
        <f>(X8/(SUM(W8*2)+(U8*3)+(X8)+(Y8)+AA8+(V8*2))*100)</f>
        <v>0</v>
      </c>
      <c r="AT8" s="38">
        <f>AN8*AU8/100</f>
        <v>57.278204992937383</v>
      </c>
      <c r="AU8" s="38">
        <f>((T8*3)+(U8*3)+(V8*2)+(W8*2)+(X8)+(Y8)+(AA8))/((Branco!$P$7)*3)*100</f>
        <v>74.365000440346122</v>
      </c>
      <c r="AV8" s="151">
        <f>(AT8*AE8)/100</f>
        <v>18.320395406355502</v>
      </c>
      <c r="AW8" s="39">
        <f>((AV8/100)*($C$23/60)*1000)/$C$5</f>
        <v>0.11226907000054588</v>
      </c>
      <c r="AX8" s="23">
        <f t="shared" ref="AX8:AX28" si="18">(AG8/100)*(($AE8/100)*($C$26))/($C$5/1000)</f>
        <v>0</v>
      </c>
      <c r="AY8" s="23">
        <f t="shared" ref="AY8:AY28" si="19">(AH8/100)*(($AE8/100)*($C$26))/($C$5/1000)</f>
        <v>0</v>
      </c>
      <c r="AZ8" s="23">
        <f t="shared" ref="AZ8:AZ28" si="20">(AI8/100)*(($AE8/100)*($C$26))/($C$5/1000)</f>
        <v>0</v>
      </c>
      <c r="BA8" s="23">
        <f t="shared" ref="BA8:BA28" si="21">(AJ8/100)*(($AE8/100)*($C$26))/($C$5/1000)</f>
        <v>47.483477549438319</v>
      </c>
      <c r="BB8" s="151">
        <f t="shared" ref="BB8:BB28" si="22">(AM8/100)*(($AE8/100)*($C$26))/($C$5/1000)</f>
        <v>0</v>
      </c>
      <c r="BC8" s="39">
        <f>AW8*42.8</f>
        <v>4.8051161960233637</v>
      </c>
      <c r="BD8" s="23">
        <f>AX8*30.07</f>
        <v>0</v>
      </c>
      <c r="BE8">
        <f>AY8*28.05</f>
        <v>0</v>
      </c>
      <c r="BF8">
        <f>AZ8*16.04</f>
        <v>0</v>
      </c>
      <c r="BG8">
        <f>BA8*28.01</f>
        <v>1330.0122061597674</v>
      </c>
      <c r="BH8" s="14">
        <f>BB8*2</f>
        <v>0</v>
      </c>
      <c r="BI8" s="109">
        <f t="shared" ref="BI8:BI16" si="23">U8*3+V8*2+W8*2+X8+Y8+AA8</f>
        <v>1.7386733843562403E-7</v>
      </c>
      <c r="BJ8" s="1">
        <f t="shared" ref="BJ8:BJ16" si="24">(BI8/((3*T8)+BI8))*100</f>
        <v>8.5388734696121436</v>
      </c>
    </row>
    <row r="9" spans="1:62" x14ac:dyDescent="0.25">
      <c r="B9" s="4" t="s">
        <v>18</v>
      </c>
      <c r="C9" s="3" t="s">
        <v>15</v>
      </c>
      <c r="D9" s="29">
        <v>1.4947576621458694E-10</v>
      </c>
      <c r="E9" s="149">
        <f>D9/$D$18</f>
        <v>1.3432113775785175</v>
      </c>
      <c r="F9" s="185">
        <f t="shared" ref="F9:F28" si="25">I9/N9</f>
        <v>7.0434083347787016E-2</v>
      </c>
      <c r="G9" s="17">
        <v>2</v>
      </c>
      <c r="H9" s="17">
        <v>15</v>
      </c>
      <c r="I9" s="40">
        <v>4467</v>
      </c>
      <c r="J9" s="41">
        <v>362</v>
      </c>
      <c r="K9" s="41"/>
      <c r="L9" s="41"/>
      <c r="M9" s="41"/>
      <c r="N9" s="41">
        <v>63421</v>
      </c>
      <c r="O9" s="41">
        <v>336</v>
      </c>
      <c r="P9" s="41">
        <v>354</v>
      </c>
      <c r="Q9" s="41">
        <v>93</v>
      </c>
      <c r="R9" s="41">
        <v>0</v>
      </c>
      <c r="S9" s="42">
        <v>857</v>
      </c>
      <c r="T9" s="32">
        <f t="shared" si="8"/>
        <v>6.6770824768055988E-7</v>
      </c>
      <c r="U9" s="163">
        <f t="shared" si="4"/>
        <v>5.6899414347499057E-8</v>
      </c>
      <c r="V9" s="163">
        <f t="shared" ref="V9:V28" si="26">K9*$D$11</f>
        <v>0</v>
      </c>
      <c r="W9" s="163">
        <f t="shared" si="6"/>
        <v>0</v>
      </c>
      <c r="X9" s="163">
        <f t="shared" si="7"/>
        <v>0</v>
      </c>
      <c r="Y9" s="163">
        <f t="shared" ref="Y9:Y28" si="27">O9*$D$14</f>
        <v>4.274838093847496E-8</v>
      </c>
      <c r="Z9" s="163">
        <f t="shared" ref="Z9:Z28" si="28">P9*$D$17</f>
        <v>3.0963950032444475E-8</v>
      </c>
      <c r="AA9" s="163">
        <f t="shared" ref="AA9:AA28" si="29">Q9*$D$15</f>
        <v>1.0111651240116219E-8</v>
      </c>
      <c r="AB9" s="163">
        <f t="shared" si="2"/>
        <v>0</v>
      </c>
      <c r="AC9" s="33">
        <f t="shared" si="3"/>
        <v>8.5724715880000006E-8</v>
      </c>
      <c r="AD9" s="37">
        <f>(Branco!$F$19-MoVOx_N2N2!F9)/Branco!$F$19*100</f>
        <v>23.678161487225864</v>
      </c>
      <c r="AE9" s="37">
        <f>((Branco!$P$7-T9)/(Branco!$P$7))*100</f>
        <v>26.842450049132005</v>
      </c>
      <c r="AF9" s="39">
        <f t="shared" si="9"/>
        <v>25.12691041438616</v>
      </c>
      <c r="AG9" s="38">
        <v>0</v>
      </c>
      <c r="AH9" s="38">
        <f t="shared" si="10"/>
        <v>0</v>
      </c>
      <c r="AI9" s="23">
        <f t="shared" si="11"/>
        <v>0</v>
      </c>
      <c r="AJ9" s="38">
        <f t="shared" si="12"/>
        <v>18.877781968740518</v>
      </c>
      <c r="AK9" s="23">
        <f t="shared" si="13"/>
        <v>13.673750555482808</v>
      </c>
      <c r="AL9" s="38">
        <f t="shared" si="14"/>
        <v>4.4653281192003078</v>
      </c>
      <c r="AM9" s="151">
        <f t="shared" si="15"/>
        <v>37.856228942190214</v>
      </c>
      <c r="AN9" s="38">
        <f>(U9/(U9+(V9*2/3)+(W9*2/3)+(X9*1/3)+(Y9*1/3)+(AA9*1/3)))*100</f>
        <v>76.355144032885775</v>
      </c>
      <c r="AO9" s="38">
        <f t="shared" si="16"/>
        <v>0</v>
      </c>
      <c r="AP9" s="23">
        <f t="shared" si="17"/>
        <v>0</v>
      </c>
      <c r="AQ9" s="38">
        <f t="shared" ref="AQ9:AQ28" si="30">(Y9/(SUM(U9*3)+(V9*2)+(W9*2)+(X9)+Y9+AA9))*100</f>
        <v>19.121806560816804</v>
      </c>
      <c r="AR9" s="38">
        <f t="shared" ref="AR9:AR28" si="31">(AA9/(SUM(V9*2)+(W9*2)+(X9)+(Y9)+(U9*3)+AA9)*100)</f>
        <v>4.5230494062974334</v>
      </c>
      <c r="AS9" s="38">
        <f t="shared" ref="AS9:AS28" si="32">(X9/(SUM(W9*2)+(U9*3)+(X9)+(Y9)+AA9+(V9*2))*100)</f>
        <v>0</v>
      </c>
      <c r="AT9" s="38">
        <f t="shared" ref="AT9:AT28" si="33">AN9*AU9/100</f>
        <v>62.093745132057656</v>
      </c>
      <c r="AU9" s="38">
        <f>((T9*3)+(U9*3)+(V9*2)+(W9*2)+(X9)+(Y9)+(AA9))/((Branco!$P$7)*3)*100</f>
        <v>81.322281450106615</v>
      </c>
      <c r="AV9" s="151">
        <f t="shared" ref="AV9:AV28" si="34">(AT9*AE9)/100</f>
        <v>16.667482520707914</v>
      </c>
      <c r="AW9" s="39">
        <f t="shared" ref="AW9:AW28" si="35">((AV9/100)*($C$23/60)*1000)/$C$5</f>
        <v>0.10213986763632193</v>
      </c>
      <c r="AX9" s="23">
        <f t="shared" si="18"/>
        <v>0</v>
      </c>
      <c r="AY9" s="23">
        <f t="shared" si="19"/>
        <v>0</v>
      </c>
      <c r="AZ9" s="23">
        <f t="shared" si="20"/>
        <v>0</v>
      </c>
      <c r="BA9" s="23">
        <f t="shared" si="21"/>
        <v>16.768420710089764</v>
      </c>
      <c r="BB9" s="151">
        <f t="shared" si="22"/>
        <v>33.626258341751232</v>
      </c>
      <c r="BC9" s="39">
        <f t="shared" ref="BC9:BC28" si="36">AW9*42.8</f>
        <v>4.3715863348345785</v>
      </c>
      <c r="BD9" s="23">
        <f t="shared" ref="BD9:BD28" si="37">AX9*30.07</f>
        <v>0</v>
      </c>
      <c r="BE9">
        <f t="shared" ref="BE9:BE28" si="38">AY9*28.05</f>
        <v>0</v>
      </c>
      <c r="BF9">
        <f t="shared" ref="BF9:BF28" si="39">AZ9*16.04</f>
        <v>0</v>
      </c>
      <c r="BG9">
        <f t="shared" ref="BG9:BG28" si="40">BA9*28.01</f>
        <v>469.68346408961429</v>
      </c>
      <c r="BH9" s="14">
        <f t="shared" ref="BH9:BH28" si="41">BB9*2</f>
        <v>67.252516683502463</v>
      </c>
      <c r="BI9" s="109">
        <f t="shared" si="23"/>
        <v>2.2355827522108835E-7</v>
      </c>
      <c r="BJ9" s="1">
        <f t="shared" si="24"/>
        <v>10.039968571525995</v>
      </c>
    </row>
    <row r="10" spans="1:62" x14ac:dyDescent="0.25">
      <c r="B10" s="4" t="s">
        <v>19</v>
      </c>
      <c r="C10" s="3" t="s">
        <v>15</v>
      </c>
      <c r="D10" s="29">
        <f>(D9)*(D12/D11)</f>
        <v>1.5718070261740071E-10</v>
      </c>
      <c r="E10" s="149">
        <f t="shared" ref="E10:E19" si="42">D10/$D$18</f>
        <v>1.4124490774536989</v>
      </c>
      <c r="F10" s="185">
        <f t="shared" si="25"/>
        <v>8.1098635984040088E-2</v>
      </c>
      <c r="G10" s="17">
        <v>3</v>
      </c>
      <c r="H10" s="17">
        <v>30</v>
      </c>
      <c r="I10" s="40">
        <v>5244</v>
      </c>
      <c r="J10" s="41">
        <v>278</v>
      </c>
      <c r="K10" s="41"/>
      <c r="L10" s="41"/>
      <c r="M10" s="41"/>
      <c r="N10" s="41">
        <v>64662</v>
      </c>
      <c r="O10" s="41">
        <v>124</v>
      </c>
      <c r="P10" s="41">
        <v>92</v>
      </c>
      <c r="Q10" s="41">
        <v>38</v>
      </c>
      <c r="R10" s="41">
        <v>0</v>
      </c>
      <c r="S10" s="42">
        <v>614</v>
      </c>
      <c r="T10" s="32">
        <f t="shared" si="8"/>
        <v>7.8385091802929396E-7</v>
      </c>
      <c r="U10" s="163">
        <f t="shared" si="4"/>
        <v>4.3696235327637395E-8</v>
      </c>
      <c r="V10" s="163">
        <f t="shared" si="26"/>
        <v>0</v>
      </c>
      <c r="W10" s="163">
        <f t="shared" si="6"/>
        <v>0</v>
      </c>
      <c r="X10" s="163">
        <f t="shared" si="7"/>
        <v>0</v>
      </c>
      <c r="Y10" s="163">
        <f t="shared" si="27"/>
        <v>1.5776188203484808E-8</v>
      </c>
      <c r="Z10" s="163">
        <f t="shared" si="28"/>
        <v>8.0471282570194675E-9</v>
      </c>
      <c r="AA10" s="163">
        <f t="shared" si="29"/>
        <v>4.1316424421980246E-9</v>
      </c>
      <c r="AB10" s="163">
        <f t="shared" si="2"/>
        <v>0</v>
      </c>
      <c r="AC10" s="33">
        <f t="shared" si="3"/>
        <v>6.1417707760000005E-8</v>
      </c>
      <c r="AD10" s="37">
        <f>(Branco!$F$19-MoVOx_N2N2!F10)/Branco!$F$19*100</f>
        <v>12.122133135212678</v>
      </c>
      <c r="AE10" s="37">
        <f>((Branco!$P$7-T10)/(Branco!$P$7))*100</f>
        <v>14.117261709793647</v>
      </c>
      <c r="AF10" s="39">
        <f t="shared" si="9"/>
        <v>32.837300581926783</v>
      </c>
      <c r="AG10" s="38">
        <v>0</v>
      </c>
      <c r="AH10" s="38">
        <f t="shared" si="10"/>
        <v>0</v>
      </c>
      <c r="AI10" s="23">
        <f t="shared" si="11"/>
        <v>0</v>
      </c>
      <c r="AJ10" s="38">
        <f t="shared" si="12"/>
        <v>11.855653700839961</v>
      </c>
      <c r="AK10" s="23">
        <f t="shared" si="13"/>
        <v>6.0473394885332858</v>
      </c>
      <c r="AL10" s="38">
        <f t="shared" si="14"/>
        <v>3.1048895575150732</v>
      </c>
      <c r="AM10" s="151">
        <f t="shared" si="15"/>
        <v>46.154816671184903</v>
      </c>
      <c r="AN10" s="38">
        <f t="shared" ref="AN10:AN28" si="43">(U10/(U10+(V10*2/3)+(W10*2/3)+(X10*1/3)+(Y10*1/3)+(AA10*1/3)))*100</f>
        <v>86.815703796802993</v>
      </c>
      <c r="AO10" s="38">
        <f t="shared" si="16"/>
        <v>0</v>
      </c>
      <c r="AP10" s="23">
        <f t="shared" si="17"/>
        <v>0</v>
      </c>
      <c r="AQ10" s="38">
        <f t="shared" si="30"/>
        <v>10.448046396116604</v>
      </c>
      <c r="AR10" s="38">
        <f t="shared" si="31"/>
        <v>2.7362498070804055</v>
      </c>
      <c r="AS10" s="38">
        <f t="shared" si="32"/>
        <v>0</v>
      </c>
      <c r="AT10" s="38">
        <f t="shared" si="33"/>
        <v>79.347287979226408</v>
      </c>
      <c r="AU10" s="38">
        <f>((T10*3)+(U10*3)+(V10*2)+(W10*2)+(X10)+(Y10)+(AA10))/((Branco!$P$7)*3)*100</f>
        <v>91.397390689757202</v>
      </c>
      <c r="AV10" s="151">
        <f t="shared" si="34"/>
        <v>11.201664303651027</v>
      </c>
      <c r="AW10" s="39">
        <f t="shared" si="35"/>
        <v>6.8644830307152696E-2</v>
      </c>
      <c r="AX10" s="23">
        <f t="shared" si="18"/>
        <v>0</v>
      </c>
      <c r="AY10" s="23">
        <f t="shared" si="19"/>
        <v>0</v>
      </c>
      <c r="AZ10" s="23">
        <f t="shared" si="20"/>
        <v>0</v>
      </c>
      <c r="BA10" s="23">
        <f t="shared" si="21"/>
        <v>5.5385363871705264</v>
      </c>
      <c r="BB10" s="151">
        <f t="shared" si="22"/>
        <v>21.561875711537638</v>
      </c>
      <c r="BC10" s="39">
        <f t="shared" si="36"/>
        <v>2.9379987371461351</v>
      </c>
      <c r="BD10" s="23">
        <f t="shared" si="37"/>
        <v>0</v>
      </c>
      <c r="BE10">
        <f t="shared" si="38"/>
        <v>0</v>
      </c>
      <c r="BF10">
        <f t="shared" si="39"/>
        <v>0</v>
      </c>
      <c r="BG10">
        <f t="shared" si="40"/>
        <v>155.13440420464644</v>
      </c>
      <c r="BH10" s="14">
        <f t="shared" si="41"/>
        <v>43.123751423075277</v>
      </c>
      <c r="BI10" s="109">
        <f t="shared" si="23"/>
        <v>1.5099653662859501E-7</v>
      </c>
      <c r="BJ10" s="1">
        <f t="shared" si="24"/>
        <v>6.0337087940179943</v>
      </c>
    </row>
    <row r="11" spans="1:62" x14ac:dyDescent="0.25">
      <c r="B11" s="4" t="s">
        <v>6</v>
      </c>
      <c r="C11" s="3" t="s">
        <v>15</v>
      </c>
      <c r="D11" s="29">
        <v>1.4795050329402993E-10</v>
      </c>
      <c r="E11" s="149">
        <f t="shared" si="42"/>
        <v>1.3295051390317978</v>
      </c>
      <c r="F11" s="185">
        <f t="shared" si="25"/>
        <v>8.5424658378395038E-2</v>
      </c>
      <c r="G11" s="17">
        <v>4</v>
      </c>
      <c r="H11" s="17">
        <v>45</v>
      </c>
      <c r="I11" s="40">
        <v>5545</v>
      </c>
      <c r="J11" s="41">
        <v>170</v>
      </c>
      <c r="K11" s="41"/>
      <c r="L11" s="41"/>
      <c r="M11" s="41"/>
      <c r="N11" s="41">
        <v>64911</v>
      </c>
      <c r="O11" s="41">
        <v>61</v>
      </c>
      <c r="P11" s="41">
        <v>45</v>
      </c>
      <c r="Q11" s="41">
        <v>16</v>
      </c>
      <c r="R11" s="41">
        <v>0</v>
      </c>
      <c r="S11" s="42">
        <v>334</v>
      </c>
      <c r="T11" s="32">
        <f t="shared" si="8"/>
        <v>8.2884312365988457E-7</v>
      </c>
      <c r="U11" s="163">
        <f t="shared" si="4"/>
        <v>2.6720719444958121E-8</v>
      </c>
      <c r="V11" s="163">
        <f t="shared" si="26"/>
        <v>0</v>
      </c>
      <c r="W11" s="163">
        <f t="shared" si="6"/>
        <v>0</v>
      </c>
      <c r="X11" s="163">
        <f t="shared" si="7"/>
        <v>0</v>
      </c>
      <c r="Y11" s="163">
        <f t="shared" si="27"/>
        <v>7.7608667775207511E-9</v>
      </c>
      <c r="Z11" s="163">
        <f t="shared" si="28"/>
        <v>3.9360953431073482E-9</v>
      </c>
      <c r="AA11" s="163">
        <f t="shared" si="29"/>
        <v>1.7396389230307473E-9</v>
      </c>
      <c r="AB11" s="163">
        <f t="shared" si="2"/>
        <v>0</v>
      </c>
      <c r="AC11" s="33">
        <f t="shared" si="3"/>
        <v>3.3409632559999999E-8</v>
      </c>
      <c r="AD11" s="37">
        <f>(Branco!$F$19-MoVOx_N2N2!F11)/Branco!$F$19*100</f>
        <v>7.434488079135197</v>
      </c>
      <c r="AE11" s="37">
        <f>((Branco!$P$7-T11)/(Branco!$P$7))*100</f>
        <v>9.1876842450049221</v>
      </c>
      <c r="AF11" s="39">
        <f t="shared" si="9"/>
        <v>36.321634018605671</v>
      </c>
      <c r="AG11" s="38">
        <v>0</v>
      </c>
      <c r="AH11" s="38">
        <f t="shared" si="10"/>
        <v>0</v>
      </c>
      <c r="AI11" s="23">
        <f t="shared" si="11"/>
        <v>0</v>
      </c>
      <c r="AJ11" s="38">
        <f t="shared" si="12"/>
        <v>10.549392704074554</v>
      </c>
      <c r="AK11" s="23">
        <f t="shared" si="13"/>
        <v>5.3503579800378116</v>
      </c>
      <c r="AL11" s="38">
        <f t="shared" si="14"/>
        <v>2.3647016098126303</v>
      </c>
      <c r="AM11" s="151">
        <f t="shared" si="15"/>
        <v>45.413913687469332</v>
      </c>
      <c r="AN11" s="38">
        <f t="shared" si="43"/>
        <v>89.404167495181895</v>
      </c>
      <c r="AO11" s="38">
        <f t="shared" si="16"/>
        <v>0</v>
      </c>
      <c r="AP11" s="23">
        <f t="shared" si="17"/>
        <v>0</v>
      </c>
      <c r="AQ11" s="38">
        <f t="shared" si="30"/>
        <v>8.6556281379888738</v>
      </c>
      <c r="AR11" s="38">
        <f t="shared" si="31"/>
        <v>1.9402043668292224</v>
      </c>
      <c r="AS11" s="38">
        <f t="shared" si="32"/>
        <v>0</v>
      </c>
      <c r="AT11" s="38">
        <f t="shared" si="33"/>
        <v>84.117654343363469</v>
      </c>
      <c r="AU11" s="38">
        <f>((T11*3)+(U11*3)+(V11*2)+(W11*2)+(X11)+(Y11)+(AA11))/((Branco!$P$7)*3)*100</f>
        <v>94.086949971204277</v>
      </c>
      <c r="AV11" s="151">
        <f t="shared" si="34"/>
        <v>7.7284644753729035</v>
      </c>
      <c r="AW11" s="39">
        <f t="shared" si="35"/>
        <v>4.7360741945633521E-2</v>
      </c>
      <c r="AX11" s="23">
        <f t="shared" si="18"/>
        <v>0</v>
      </c>
      <c r="AY11" s="23">
        <f t="shared" si="19"/>
        <v>0</v>
      </c>
      <c r="AZ11" s="23">
        <f t="shared" si="20"/>
        <v>0</v>
      </c>
      <c r="BA11" s="23">
        <f t="shared" si="21"/>
        <v>3.2073958492796577</v>
      </c>
      <c r="BB11" s="151">
        <f t="shared" si="22"/>
        <v>13.807467628394807</v>
      </c>
      <c r="BC11" s="39">
        <f t="shared" si="36"/>
        <v>2.0270397552731145</v>
      </c>
      <c r="BD11" s="23">
        <f t="shared" si="37"/>
        <v>0</v>
      </c>
      <c r="BE11">
        <f t="shared" si="38"/>
        <v>0</v>
      </c>
      <c r="BF11">
        <f t="shared" si="39"/>
        <v>0</v>
      </c>
      <c r="BG11">
        <f t="shared" si="40"/>
        <v>89.839157738323223</v>
      </c>
      <c r="BH11" s="14">
        <f t="shared" si="41"/>
        <v>27.614935256789614</v>
      </c>
      <c r="BI11" s="109">
        <f t="shared" si="23"/>
        <v>8.9662664035425868E-8</v>
      </c>
      <c r="BJ11" s="1">
        <f t="shared" si="24"/>
        <v>3.4804340210958316</v>
      </c>
    </row>
    <row r="12" spans="1:62" s="99" customFormat="1" x14ac:dyDescent="0.25">
      <c r="A12"/>
      <c r="B12" s="5" t="s">
        <v>7</v>
      </c>
      <c r="C12" s="3" t="s">
        <v>15</v>
      </c>
      <c r="D12" s="29">
        <f>(D9)*(1.02/0.98)</f>
        <v>1.5557681789681499E-10</v>
      </c>
      <c r="E12" s="149">
        <f t="shared" si="42"/>
        <v>1.3980363317653957</v>
      </c>
      <c r="F12" s="185">
        <f t="shared" si="25"/>
        <v>8.7419349847596362E-2</v>
      </c>
      <c r="G12" s="84">
        <v>5</v>
      </c>
      <c r="H12" s="84">
        <v>60</v>
      </c>
      <c r="I12" s="85">
        <v>5650</v>
      </c>
      <c r="J12" s="86">
        <v>107</v>
      </c>
      <c r="K12" s="86"/>
      <c r="L12" s="86"/>
      <c r="M12" s="86"/>
      <c r="N12" s="86">
        <v>64631</v>
      </c>
      <c r="O12" s="86">
        <v>38</v>
      </c>
      <c r="P12" s="86">
        <v>29</v>
      </c>
      <c r="Q12" s="86">
        <v>8</v>
      </c>
      <c r="R12" s="86">
        <v>0</v>
      </c>
      <c r="S12" s="87">
        <v>182</v>
      </c>
      <c r="T12" s="88">
        <f t="shared" si="8"/>
        <v>8.4453807911241618E-7</v>
      </c>
      <c r="U12" s="164">
        <f t="shared" si="4"/>
        <v>1.6818335180061877E-8</v>
      </c>
      <c r="V12" s="164">
        <f t="shared" si="26"/>
        <v>0</v>
      </c>
      <c r="W12" s="164">
        <f t="shared" si="6"/>
        <v>0</v>
      </c>
      <c r="X12" s="164">
        <f t="shared" si="7"/>
        <v>0</v>
      </c>
      <c r="Y12" s="164">
        <f t="shared" si="27"/>
        <v>4.834638320422763E-9</v>
      </c>
      <c r="Z12" s="164">
        <f t="shared" si="28"/>
        <v>2.5365947766691803E-9</v>
      </c>
      <c r="AA12" s="164">
        <f t="shared" si="29"/>
        <v>8.6981946151537366E-10</v>
      </c>
      <c r="AB12" s="164">
        <f t="shared" si="2"/>
        <v>0</v>
      </c>
      <c r="AC12" s="89">
        <f t="shared" si="3"/>
        <v>1.8205248880000002E-8</v>
      </c>
      <c r="AD12" s="37">
        <f>(Branco!$F$19-MoVOx_N2N2!F12)/Branco!$F$19*100</f>
        <v>5.2730555317209946</v>
      </c>
      <c r="AE12" s="90">
        <f>((Branco!$P$7-T12)/(Branco!$P$7))*100</f>
        <v>7.4680641991483885</v>
      </c>
      <c r="AF12" s="92">
        <f t="shared" si="9"/>
        <v>38.873168699640871</v>
      </c>
      <c r="AG12" s="91">
        <v>0</v>
      </c>
      <c r="AH12" s="91">
        <f t="shared" si="10"/>
        <v>0</v>
      </c>
      <c r="AI12" s="93">
        <f t="shared" si="11"/>
        <v>0</v>
      </c>
      <c r="AJ12" s="91">
        <f t="shared" si="12"/>
        <v>11.174572811127135</v>
      </c>
      <c r="AK12" s="93">
        <f t="shared" si="13"/>
        <v>5.8629748795222971</v>
      </c>
      <c r="AL12" s="91">
        <f t="shared" si="14"/>
        <v>2.010462884923518</v>
      </c>
      <c r="AM12" s="101">
        <f t="shared" si="15"/>
        <v>42.078820724786169</v>
      </c>
      <c r="AN12" s="38">
        <f t="shared" si="43"/>
        <v>89.84239263609399</v>
      </c>
      <c r="AO12" s="91">
        <f t="shared" si="16"/>
        <v>0</v>
      </c>
      <c r="AP12" s="93">
        <f t="shared" si="17"/>
        <v>0</v>
      </c>
      <c r="AQ12" s="91">
        <f t="shared" si="30"/>
        <v>8.6087687353632152</v>
      </c>
      <c r="AR12" s="91">
        <f t="shared" si="31"/>
        <v>1.5488386285427913</v>
      </c>
      <c r="AS12" s="91">
        <f t="shared" si="32"/>
        <v>0</v>
      </c>
      <c r="AT12" s="38">
        <f t="shared" si="33"/>
        <v>84.975608382850226</v>
      </c>
      <c r="AU12" s="91">
        <f>((T12*3)+(U12*3)+(V12*2)+(W12*2)+(X12)+(Y12)+(AA12))/((Branco!$P$7)*3)*100</f>
        <v>94.582975686147805</v>
      </c>
      <c r="AV12" s="151">
        <f t="shared" si="34"/>
        <v>6.3460329876481749</v>
      </c>
      <c r="AW12" s="39">
        <f t="shared" si="35"/>
        <v>3.8889074493931863E-2</v>
      </c>
      <c r="AX12" s="93">
        <f t="shared" si="18"/>
        <v>0</v>
      </c>
      <c r="AY12" s="93">
        <f t="shared" si="19"/>
        <v>0</v>
      </c>
      <c r="AZ12" s="93">
        <f t="shared" si="20"/>
        <v>0</v>
      </c>
      <c r="BA12" s="93">
        <f t="shared" si="21"/>
        <v>2.7615824527811967</v>
      </c>
      <c r="BB12" s="101">
        <f t="shared" si="22"/>
        <v>10.398977653229341</v>
      </c>
      <c r="BC12" s="92">
        <f t="shared" si="36"/>
        <v>1.6644523883402838</v>
      </c>
      <c r="BD12" s="93">
        <f t="shared" si="37"/>
        <v>0</v>
      </c>
      <c r="BE12" s="99">
        <f t="shared" si="38"/>
        <v>0</v>
      </c>
      <c r="BF12" s="99">
        <f t="shared" si="39"/>
        <v>0</v>
      </c>
      <c r="BG12" s="99">
        <f t="shared" si="40"/>
        <v>77.351924502401332</v>
      </c>
      <c r="BH12" s="100">
        <f t="shared" si="41"/>
        <v>20.797955306458682</v>
      </c>
      <c r="BI12" s="177">
        <f t="shared" si="23"/>
        <v>5.615946332212377E-8</v>
      </c>
      <c r="BJ12" s="178">
        <f t="shared" si="24"/>
        <v>2.1685085190194506</v>
      </c>
    </row>
    <row r="13" spans="1:62" x14ac:dyDescent="0.25">
      <c r="B13" s="5" t="s">
        <v>10</v>
      </c>
      <c r="C13" s="3" t="s">
        <v>15</v>
      </c>
      <c r="D13" s="29">
        <f>D9*1.37</f>
        <v>2.0478179971398413E-10</v>
      </c>
      <c r="E13" s="149">
        <f t="shared" si="42"/>
        <v>1.8401995872825689</v>
      </c>
      <c r="F13" s="185">
        <f t="shared" si="25"/>
        <v>8.9341067427799778E-2</v>
      </c>
      <c r="G13" s="17">
        <v>6</v>
      </c>
      <c r="H13" s="17">
        <v>75</v>
      </c>
      <c r="I13" s="40">
        <v>5822</v>
      </c>
      <c r="J13" s="41">
        <v>80</v>
      </c>
      <c r="K13" s="41"/>
      <c r="L13" s="41"/>
      <c r="M13" s="41"/>
      <c r="N13" s="41">
        <v>65166</v>
      </c>
      <c r="O13" s="41">
        <v>27</v>
      </c>
      <c r="P13" s="41">
        <v>23</v>
      </c>
      <c r="Q13" s="41">
        <v>5</v>
      </c>
      <c r="R13" s="41">
        <v>0</v>
      </c>
      <c r="S13" s="42">
        <v>109</v>
      </c>
      <c r="T13" s="32">
        <f t="shared" si="8"/>
        <v>8.7024791090132521E-7</v>
      </c>
      <c r="U13" s="163">
        <f t="shared" si="4"/>
        <v>1.2574456209392057E-8</v>
      </c>
      <c r="V13" s="163">
        <f t="shared" si="26"/>
        <v>0</v>
      </c>
      <c r="W13" s="163">
        <f t="shared" si="6"/>
        <v>0</v>
      </c>
      <c r="X13" s="163">
        <f t="shared" si="7"/>
        <v>0</v>
      </c>
      <c r="Y13" s="163">
        <f t="shared" si="27"/>
        <v>3.4351377539845951E-9</v>
      </c>
      <c r="Z13" s="163">
        <f t="shared" si="28"/>
        <v>2.0117820642548669E-9</v>
      </c>
      <c r="AA13" s="163">
        <f t="shared" si="29"/>
        <v>5.4363716344710849E-10</v>
      </c>
      <c r="AB13" s="163">
        <f t="shared" si="2"/>
        <v>0</v>
      </c>
      <c r="AC13" s="33">
        <f t="shared" si="3"/>
        <v>1.090314356E-8</v>
      </c>
      <c r="AD13" s="37">
        <f>(Branco!$F$19-MoVOx_N2N2!F13)/Branco!$F$19*100</f>
        <v>3.1906969369590388</v>
      </c>
      <c r="AE13" s="37">
        <f>((Branco!$P$7-T13)/(Branco!$P$7))*100</f>
        <v>4.6511627906976765</v>
      </c>
      <c r="AF13" s="39">
        <f t="shared" si="9"/>
        <v>42.671336098861332</v>
      </c>
      <c r="AG13" s="38">
        <v>0</v>
      </c>
      <c r="AH13" s="38">
        <f t="shared" si="10"/>
        <v>0</v>
      </c>
      <c r="AI13" s="23">
        <f t="shared" si="11"/>
        <v>0</v>
      </c>
      <c r="AJ13" s="38">
        <f t="shared" si="12"/>
        <v>11.657117827225004</v>
      </c>
      <c r="AK13" s="23">
        <f t="shared" si="13"/>
        <v>6.8269694682590876</v>
      </c>
      <c r="AL13" s="38">
        <f t="shared" si="14"/>
        <v>1.8448292101853627</v>
      </c>
      <c r="AM13" s="151">
        <f t="shared" si="15"/>
        <v>36.999747395469221</v>
      </c>
      <c r="AN13" s="38">
        <f t="shared" si="43"/>
        <v>90.459063781504938</v>
      </c>
      <c r="AO13" s="38">
        <f t="shared" si="16"/>
        <v>0</v>
      </c>
      <c r="AP13" s="23">
        <f t="shared" si="17"/>
        <v>0</v>
      </c>
      <c r="AQ13" s="38">
        <f t="shared" si="30"/>
        <v>8.2373169864223641</v>
      </c>
      <c r="AR13" s="38">
        <f t="shared" si="31"/>
        <v>1.3036192320727</v>
      </c>
      <c r="AS13" s="38">
        <f t="shared" si="32"/>
        <v>0</v>
      </c>
      <c r="AT13" s="38">
        <f t="shared" si="33"/>
        <v>87.629387564681025</v>
      </c>
      <c r="AU13" s="38">
        <f>((T13*3)+(U13*3)+(V13*2)+(W13*2)+(X13)+(Y13)+(AA13))/((Branco!$P$7)*3)*100</f>
        <v>96.871870989446975</v>
      </c>
      <c r="AV13" s="151">
        <f t="shared" si="34"/>
        <v>4.0757854681247006</v>
      </c>
      <c r="AW13" s="39">
        <f t="shared" si="35"/>
        <v>2.4976788648860691E-2</v>
      </c>
      <c r="AX13" s="23">
        <f t="shared" si="18"/>
        <v>0</v>
      </c>
      <c r="AY13" s="23">
        <f t="shared" si="19"/>
        <v>0</v>
      </c>
      <c r="AZ13" s="23">
        <f t="shared" si="20"/>
        <v>0</v>
      </c>
      <c r="BA13" s="23">
        <f t="shared" si="21"/>
        <v>1.7942037849539942</v>
      </c>
      <c r="BB13" s="151">
        <f t="shared" si="22"/>
        <v>5.6948113421528017</v>
      </c>
      <c r="BC13" s="39">
        <f t="shared" si="36"/>
        <v>1.0690065541712375</v>
      </c>
      <c r="BD13" s="23">
        <f t="shared" si="37"/>
        <v>0</v>
      </c>
      <c r="BE13">
        <f t="shared" si="38"/>
        <v>0</v>
      </c>
      <c r="BF13">
        <f t="shared" si="39"/>
        <v>0</v>
      </c>
      <c r="BG13">
        <f t="shared" si="40"/>
        <v>50.255648016561381</v>
      </c>
      <c r="BH13" s="14">
        <f t="shared" si="41"/>
        <v>11.389622684305603</v>
      </c>
      <c r="BI13" s="109">
        <f t="shared" si="23"/>
        <v>4.1702143545607876E-8</v>
      </c>
      <c r="BJ13" s="1">
        <f t="shared" si="24"/>
        <v>1.5722146837760353</v>
      </c>
    </row>
    <row r="14" spans="1:62" x14ac:dyDescent="0.25">
      <c r="B14" s="5" t="s">
        <v>8</v>
      </c>
      <c r="C14" s="3" t="s">
        <v>16</v>
      </c>
      <c r="D14" s="29">
        <f>(38.3/33.5)*D18</f>
        <v>1.2722732422165167E-10</v>
      </c>
      <c r="E14" s="148">
        <f t="shared" si="42"/>
        <v>1.1432835820895522</v>
      </c>
      <c r="F14" s="185">
        <f t="shared" si="25"/>
        <v>8.8223929272477158E-2</v>
      </c>
      <c r="G14" s="17">
        <v>7</v>
      </c>
      <c r="H14" s="17">
        <v>90</v>
      </c>
      <c r="I14" s="40">
        <v>5708</v>
      </c>
      <c r="J14" s="41">
        <v>67</v>
      </c>
      <c r="K14" s="41"/>
      <c r="L14" s="41"/>
      <c r="M14" s="41"/>
      <c r="N14" s="41">
        <v>64699</v>
      </c>
      <c r="O14" s="41">
        <v>20</v>
      </c>
      <c r="P14" s="41">
        <v>22</v>
      </c>
      <c r="Q14" s="41">
        <v>4</v>
      </c>
      <c r="R14" s="41">
        <v>0</v>
      </c>
      <c r="S14" s="42">
        <v>75</v>
      </c>
      <c r="T14" s="32">
        <f t="shared" si="8"/>
        <v>8.5320767355286225E-7</v>
      </c>
      <c r="U14" s="163">
        <f t="shared" si="4"/>
        <v>1.0531107075365848E-8</v>
      </c>
      <c r="V14" s="163">
        <f t="shared" si="26"/>
        <v>0</v>
      </c>
      <c r="W14" s="163">
        <f t="shared" si="6"/>
        <v>0</v>
      </c>
      <c r="X14" s="163">
        <f t="shared" si="7"/>
        <v>0</v>
      </c>
      <c r="Y14" s="163">
        <f t="shared" si="27"/>
        <v>2.5445464844330333E-9</v>
      </c>
      <c r="Z14" s="163">
        <f t="shared" si="28"/>
        <v>1.9243132788524814E-9</v>
      </c>
      <c r="AA14" s="163">
        <f t="shared" si="29"/>
        <v>4.3490973075768683E-10</v>
      </c>
      <c r="AB14" s="163">
        <f t="shared" si="2"/>
        <v>0</v>
      </c>
      <c r="AC14" s="33">
        <f t="shared" si="3"/>
        <v>7.5021630000000006E-9</v>
      </c>
      <c r="AD14" s="37">
        <f>(Branco!$F$19-MoVOx_N2N2!F14)/Branco!$F$19*100</f>
        <v>4.4012193692023516</v>
      </c>
      <c r="AE14" s="37">
        <f>((Branco!$P$7-T14)/(Branco!$P$7))*100</f>
        <v>6.5181788404847767</v>
      </c>
      <c r="AF14" s="39">
        <f t="shared" si="9"/>
        <v>45.913105060912493</v>
      </c>
      <c r="AG14" s="38">
        <v>0</v>
      </c>
      <c r="AH14" s="38">
        <f t="shared" si="10"/>
        <v>0</v>
      </c>
      <c r="AI14" s="23">
        <f t="shared" si="11"/>
        <v>0</v>
      </c>
      <c r="AJ14" s="38">
        <f t="shared" si="12"/>
        <v>11.093613352904857</v>
      </c>
      <c r="AK14" s="23">
        <f t="shared" si="13"/>
        <v>8.3895450981342989</v>
      </c>
      <c r="AL14" s="38">
        <f t="shared" si="14"/>
        <v>1.8961022822566977</v>
      </c>
      <c r="AM14" s="151">
        <f t="shared" si="15"/>
        <v>32.707634205791649</v>
      </c>
      <c r="AN14" s="38">
        <f t="shared" si="43"/>
        <v>91.382074465233657</v>
      </c>
      <c r="AO14" s="38">
        <f t="shared" si="16"/>
        <v>0</v>
      </c>
      <c r="AP14" s="23">
        <f t="shared" si="17"/>
        <v>0</v>
      </c>
      <c r="AQ14" s="38">
        <f t="shared" si="30"/>
        <v>7.3599712628069884</v>
      </c>
      <c r="AR14" s="38">
        <f t="shared" si="31"/>
        <v>1.2579542719593577</v>
      </c>
      <c r="AS14" s="38">
        <f t="shared" si="32"/>
        <v>0</v>
      </c>
      <c r="AT14" s="38">
        <f t="shared" si="33"/>
        <v>86.579469681018011</v>
      </c>
      <c r="AU14" s="38">
        <f>((T14*3)+(U14*3)+(V14*2)+(W14*2)+(X14)+(Y14)+(AA14))/((Branco!$P$7)*3)*100</f>
        <v>94.744478266311631</v>
      </c>
      <c r="AV14" s="151">
        <f t="shared" si="34"/>
        <v>5.6434046729520491</v>
      </c>
      <c r="AW14" s="39">
        <f t="shared" si="35"/>
        <v>3.4583303483136998E-2</v>
      </c>
      <c r="AX14" s="23">
        <f t="shared" si="18"/>
        <v>0</v>
      </c>
      <c r="AY14" s="23">
        <f t="shared" si="19"/>
        <v>0</v>
      </c>
      <c r="AZ14" s="23">
        <f t="shared" si="20"/>
        <v>0</v>
      </c>
      <c r="BA14" s="23">
        <f t="shared" si="21"/>
        <v>2.3928657834201288</v>
      </c>
      <c r="BB14" s="151">
        <f t="shared" si="22"/>
        <v>7.0549582230722852</v>
      </c>
      <c r="BC14" s="39">
        <f t="shared" si="36"/>
        <v>1.4801653890782633</v>
      </c>
      <c r="BD14" s="23">
        <f t="shared" si="37"/>
        <v>0</v>
      </c>
      <c r="BE14">
        <f t="shared" si="38"/>
        <v>0</v>
      </c>
      <c r="BF14">
        <f t="shared" si="39"/>
        <v>0</v>
      </c>
      <c r="BG14">
        <f t="shared" si="40"/>
        <v>67.024170593597816</v>
      </c>
      <c r="BH14" s="14">
        <f t="shared" si="41"/>
        <v>14.10991644614457</v>
      </c>
      <c r="BI14" s="109">
        <f t="shared" si="23"/>
        <v>3.4572777441288263E-8</v>
      </c>
      <c r="BJ14" s="1">
        <f t="shared" si="24"/>
        <v>1.3326973032109286</v>
      </c>
    </row>
    <row r="15" spans="1:62" x14ac:dyDescent="0.25">
      <c r="B15" s="5" t="s">
        <v>9</v>
      </c>
      <c r="C15" s="3" t="s">
        <v>16</v>
      </c>
      <c r="D15" s="29">
        <f>(38.3/39.2)*D18</f>
        <v>1.0872743268942171E-10</v>
      </c>
      <c r="E15" s="148">
        <f t="shared" si="42"/>
        <v>0.9770408163265305</v>
      </c>
      <c r="F15" s="185">
        <f t="shared" si="25"/>
        <v>8.623008083587072E-2</v>
      </c>
      <c r="G15" s="17">
        <v>8</v>
      </c>
      <c r="H15" s="17">
        <v>105</v>
      </c>
      <c r="I15" s="40">
        <v>5579</v>
      </c>
      <c r="J15" s="41">
        <v>60</v>
      </c>
      <c r="K15" s="41"/>
      <c r="L15" s="41"/>
      <c r="M15" s="41"/>
      <c r="N15" s="41">
        <v>64699</v>
      </c>
      <c r="O15" s="41">
        <v>18</v>
      </c>
      <c r="P15" s="41">
        <v>22</v>
      </c>
      <c r="Q15" s="41">
        <v>3</v>
      </c>
      <c r="R15" s="41">
        <v>0</v>
      </c>
      <c r="S15" s="42">
        <v>56</v>
      </c>
      <c r="T15" s="32">
        <f t="shared" si="8"/>
        <v>8.3392529971118056E-7</v>
      </c>
      <c r="U15" s="163">
        <f t="shared" si="4"/>
        <v>9.4308421570440421E-9</v>
      </c>
      <c r="V15" s="163">
        <f t="shared" si="26"/>
        <v>0</v>
      </c>
      <c r="W15" s="163">
        <f t="shared" si="6"/>
        <v>0</v>
      </c>
      <c r="X15" s="163">
        <f t="shared" si="7"/>
        <v>0</v>
      </c>
      <c r="Y15" s="163">
        <f t="shared" si="27"/>
        <v>2.2900918359897302E-9</v>
      </c>
      <c r="Z15" s="163">
        <f t="shared" si="28"/>
        <v>1.9243132788524814E-9</v>
      </c>
      <c r="AA15" s="163">
        <f t="shared" si="29"/>
        <v>3.2618229806826512E-10</v>
      </c>
      <c r="AB15" s="163">
        <f t="shared" si="2"/>
        <v>0</v>
      </c>
      <c r="AC15" s="33">
        <f t="shared" si="3"/>
        <v>5.6016150400000002E-9</v>
      </c>
      <c r="AD15" s="37">
        <f>(Branco!$F$19-MoVOx_N2N2!F15)/Branco!$F$19*100</f>
        <v>6.5617384128906648</v>
      </c>
      <c r="AE15" s="37">
        <f>((Branco!$P$7-T15)/(Branco!$P$7))*100</f>
        <v>8.6308548968228003</v>
      </c>
      <c r="AF15" s="39">
        <f t="shared" si="9"/>
        <v>48.182806226516625</v>
      </c>
      <c r="AG15" s="38">
        <v>0</v>
      </c>
      <c r="AH15" s="38">
        <f t="shared" si="10"/>
        <v>0</v>
      </c>
      <c r="AI15" s="23">
        <f t="shared" si="11"/>
        <v>0</v>
      </c>
      <c r="AJ15" s="38">
        <f t="shared" si="12"/>
        <v>11.70023305840231</v>
      </c>
      <c r="AK15" s="23">
        <f t="shared" si="13"/>
        <v>9.8314458337963853</v>
      </c>
      <c r="AL15" s="38">
        <f t="shared" si="14"/>
        <v>1.6664872766006689</v>
      </c>
      <c r="AM15" s="151">
        <f t="shared" si="15"/>
        <v>28.61902760468401</v>
      </c>
      <c r="AN15" s="38">
        <f t="shared" si="43"/>
        <v>91.535504183819157</v>
      </c>
      <c r="AO15" s="38">
        <f t="shared" si="16"/>
        <v>0</v>
      </c>
      <c r="AP15" s="23">
        <f t="shared" si="17"/>
        <v>0</v>
      </c>
      <c r="AQ15" s="38">
        <f t="shared" si="30"/>
        <v>7.4091902343346963</v>
      </c>
      <c r="AR15" s="38">
        <f t="shared" si="31"/>
        <v>1.0553055818461408</v>
      </c>
      <c r="AS15" s="38">
        <f t="shared" si="32"/>
        <v>0</v>
      </c>
      <c r="AT15" s="38">
        <f t="shared" si="33"/>
        <v>84.668499212584763</v>
      </c>
      <c r="AU15" s="38">
        <f>((T15*3)+(U15*3)+(V15*2)+(W15*2)+(X15)+(Y15)+(AA15))/((Branco!$P$7)*3)*100</f>
        <v>92.49798749407195</v>
      </c>
      <c r="AV15" s="151">
        <f t="shared" si="34"/>
        <v>7.3076153103557466</v>
      </c>
      <c r="AW15" s="39">
        <f t="shared" si="35"/>
        <v>4.478173951042453E-2</v>
      </c>
      <c r="AX15" s="23">
        <f t="shared" si="18"/>
        <v>0</v>
      </c>
      <c r="AY15" s="23">
        <f t="shared" si="19"/>
        <v>0</v>
      </c>
      <c r="AZ15" s="23">
        <f t="shared" si="20"/>
        <v>0</v>
      </c>
      <c r="BA15" s="23">
        <f t="shared" si="21"/>
        <v>3.3416993180335672</v>
      </c>
      <c r="BB15" s="151">
        <f t="shared" si="22"/>
        <v>8.1738700889104958</v>
      </c>
      <c r="BC15" s="39">
        <f t="shared" si="36"/>
        <v>1.9166584510461697</v>
      </c>
      <c r="BD15" s="23">
        <f t="shared" si="37"/>
        <v>0</v>
      </c>
      <c r="BE15">
        <f t="shared" si="38"/>
        <v>0</v>
      </c>
      <c r="BF15">
        <f t="shared" si="39"/>
        <v>0</v>
      </c>
      <c r="BG15">
        <f t="shared" si="40"/>
        <v>93.600997898120227</v>
      </c>
      <c r="BH15" s="14">
        <f t="shared" si="41"/>
        <v>16.347740177820992</v>
      </c>
      <c r="BI15" s="109">
        <f t="shared" si="23"/>
        <v>3.0908800605190123E-8</v>
      </c>
      <c r="BJ15" s="1">
        <f t="shared" si="24"/>
        <v>1.2203967042711092</v>
      </c>
    </row>
    <row r="16" spans="1:62" s="99" customFormat="1" x14ac:dyDescent="0.25">
      <c r="A16"/>
      <c r="B16" s="5" t="s">
        <v>12</v>
      </c>
      <c r="C16" s="3" t="s">
        <v>16</v>
      </c>
      <c r="D16" s="29">
        <v>1.2679079497666798E-10</v>
      </c>
      <c r="E16" s="148">
        <f t="shared" si="42"/>
        <v>1.1393608656295069</v>
      </c>
      <c r="F16" s="185">
        <f t="shared" si="25"/>
        <v>8.7624880145989917E-2</v>
      </c>
      <c r="G16" s="84">
        <v>9</v>
      </c>
      <c r="H16" s="84">
        <v>120</v>
      </c>
      <c r="I16" s="85">
        <v>5666</v>
      </c>
      <c r="J16" s="86">
        <v>58</v>
      </c>
      <c r="K16" s="86"/>
      <c r="L16" s="86"/>
      <c r="M16" s="86"/>
      <c r="N16" s="86">
        <v>64662</v>
      </c>
      <c r="O16" s="86">
        <v>14</v>
      </c>
      <c r="P16" s="86">
        <v>19</v>
      </c>
      <c r="Q16" s="86">
        <v>3</v>
      </c>
      <c r="R16" s="86">
        <v>0</v>
      </c>
      <c r="S16" s="87">
        <v>45</v>
      </c>
      <c r="T16" s="88">
        <f t="shared" si="8"/>
        <v>8.469296913718496E-7</v>
      </c>
      <c r="U16" s="164">
        <f t="shared" si="4"/>
        <v>9.1164807518092415E-9</v>
      </c>
      <c r="V16" s="164">
        <f t="shared" si="26"/>
        <v>0</v>
      </c>
      <c r="W16" s="164">
        <f t="shared" si="6"/>
        <v>0</v>
      </c>
      <c r="X16" s="164">
        <f t="shared" si="7"/>
        <v>0</v>
      </c>
      <c r="Y16" s="164">
        <f t="shared" si="27"/>
        <v>1.7811825391031234E-9</v>
      </c>
      <c r="Z16" s="164">
        <f t="shared" si="28"/>
        <v>1.6619069226453249E-9</v>
      </c>
      <c r="AA16" s="164">
        <f t="shared" si="29"/>
        <v>3.2618229806826512E-10</v>
      </c>
      <c r="AB16" s="164">
        <f t="shared" si="2"/>
        <v>0</v>
      </c>
      <c r="AC16" s="89">
        <f t="shared" si="3"/>
        <v>4.5012977999999999E-9</v>
      </c>
      <c r="AD16" s="37">
        <f>(Branco!$F$19-MoVOx_N2N2!F16)/Branco!$F$19*100</f>
        <v>5.0503444592133961</v>
      </c>
      <c r="AE16" s="90">
        <f>((Branco!$P$7-T16)/(Branco!$P$7))*100</f>
        <v>7.2060268588273901</v>
      </c>
      <c r="AF16" s="92">
        <f t="shared" si="9"/>
        <v>52.432589705646926</v>
      </c>
      <c r="AG16" s="91">
        <v>0</v>
      </c>
      <c r="AH16" s="91">
        <f t="shared" si="10"/>
        <v>0</v>
      </c>
      <c r="AI16" s="93">
        <f t="shared" si="11"/>
        <v>0</v>
      </c>
      <c r="AJ16" s="91">
        <f t="shared" si="12"/>
        <v>10.244305429496142</v>
      </c>
      <c r="AK16" s="93">
        <f t="shared" si="13"/>
        <v>9.5583028337709521</v>
      </c>
      <c r="AL16" s="91">
        <f t="shared" si="14"/>
        <v>1.8760070985137793</v>
      </c>
      <c r="AM16" s="101">
        <f t="shared" si="15"/>
        <v>25.888794932572207</v>
      </c>
      <c r="AN16" s="38">
        <f t="shared" si="43"/>
        <v>92.845915612826715</v>
      </c>
      <c r="AO16" s="91">
        <f t="shared" si="16"/>
        <v>0</v>
      </c>
      <c r="AP16" s="93">
        <f t="shared" si="17"/>
        <v>0</v>
      </c>
      <c r="AQ16" s="91">
        <f t="shared" si="30"/>
        <v>6.0467603752975565</v>
      </c>
      <c r="AR16" s="91">
        <f t="shared" si="31"/>
        <v>1.107324011875737</v>
      </c>
      <c r="AS16" s="91">
        <f t="shared" si="32"/>
        <v>0</v>
      </c>
      <c r="AT16" s="38">
        <f t="shared" si="33"/>
        <v>87.154262517923527</v>
      </c>
      <c r="AU16" s="91">
        <f>((T16*3)+(U16*3)+(V16*2)+(W16*2)+(X16)+(Y16)+(AA16))/((Branco!$P$7)*3)*100</f>
        <v>93.869786239560881</v>
      </c>
      <c r="AV16" s="151">
        <f t="shared" si="34"/>
        <v>6.2803595656545017</v>
      </c>
      <c r="AW16" s="39">
        <f t="shared" si="35"/>
        <v>3.8486621716715859E-2</v>
      </c>
      <c r="AX16" s="93">
        <f t="shared" si="18"/>
        <v>0</v>
      </c>
      <c r="AY16" s="93">
        <f t="shared" si="19"/>
        <v>0</v>
      </c>
      <c r="AZ16" s="93">
        <f t="shared" si="20"/>
        <v>0</v>
      </c>
      <c r="BA16" s="93">
        <f t="shared" si="21"/>
        <v>2.4428535801859876</v>
      </c>
      <c r="BB16" s="101">
        <f t="shared" si="22"/>
        <v>6.173433213504393</v>
      </c>
      <c r="BC16" s="92">
        <f t="shared" si="36"/>
        <v>1.6472274094754387</v>
      </c>
      <c r="BD16" s="93">
        <f>AX16*30.07</f>
        <v>0</v>
      </c>
      <c r="BE16" s="99">
        <f t="shared" si="38"/>
        <v>0</v>
      </c>
      <c r="BF16" s="99">
        <f t="shared" si="39"/>
        <v>0</v>
      </c>
      <c r="BG16" s="99">
        <f t="shared" si="40"/>
        <v>68.424328781009521</v>
      </c>
      <c r="BH16" s="100">
        <f t="shared" si="41"/>
        <v>12.346866427008786</v>
      </c>
      <c r="BI16" s="177">
        <f t="shared" si="23"/>
        <v>2.9456807092599113E-8</v>
      </c>
      <c r="BJ16" s="178">
        <f t="shared" si="24"/>
        <v>1.1460696156724468</v>
      </c>
    </row>
    <row r="17" spans="1:62" x14ac:dyDescent="0.25">
      <c r="B17" s="5" t="s">
        <v>68</v>
      </c>
      <c r="C17" s="3" t="s">
        <v>16</v>
      </c>
      <c r="D17" s="29">
        <f>D14*0.6875</f>
        <v>8.7468785402385524E-11</v>
      </c>
      <c r="E17" s="148">
        <f t="shared" si="42"/>
        <v>0.78600746268656707</v>
      </c>
      <c r="F17" s="185">
        <f t="shared" si="25"/>
        <v>8.5369180407371487E-2</v>
      </c>
      <c r="G17" s="17">
        <v>10</v>
      </c>
      <c r="H17" s="17">
        <v>135</v>
      </c>
      <c r="I17" s="40">
        <v>5633</v>
      </c>
      <c r="J17" s="41">
        <v>56</v>
      </c>
      <c r="K17" s="41"/>
      <c r="L17" s="41"/>
      <c r="M17" s="41"/>
      <c r="N17" s="41">
        <v>65984</v>
      </c>
      <c r="O17" s="41">
        <v>14</v>
      </c>
      <c r="P17" s="41">
        <v>16</v>
      </c>
      <c r="Q17" s="41">
        <v>3</v>
      </c>
      <c r="R17" s="41">
        <v>0</v>
      </c>
      <c r="S17" s="42">
        <v>38</v>
      </c>
      <c r="T17" s="32">
        <f t="shared" si="8"/>
        <v>8.4199699108676829E-7</v>
      </c>
      <c r="U17" s="163">
        <f t="shared" si="4"/>
        <v>8.8021193465744391E-9</v>
      </c>
      <c r="V17" s="163">
        <f t="shared" si="26"/>
        <v>0</v>
      </c>
      <c r="W17" s="163">
        <f t="shared" si="6"/>
        <v>0</v>
      </c>
      <c r="X17" s="163">
        <f t="shared" si="7"/>
        <v>0</v>
      </c>
      <c r="Y17" s="163">
        <f t="shared" si="27"/>
        <v>1.7811825391031234E-9</v>
      </c>
      <c r="Z17" s="163">
        <f t="shared" si="28"/>
        <v>1.3995005664381684E-9</v>
      </c>
      <c r="AA17" s="163">
        <f t="shared" si="29"/>
        <v>3.2618229806826512E-10</v>
      </c>
      <c r="AB17" s="163">
        <f t="shared" si="2"/>
        <v>0</v>
      </c>
      <c r="AC17" s="33">
        <f t="shared" si="3"/>
        <v>3.8010959200000001E-9</v>
      </c>
      <c r="AD17" s="37">
        <f>(Branco!$F$19-MoVOx_N2N2!F17)/Branco!$F$19*100</f>
        <v>7.4946035877671253</v>
      </c>
      <c r="AE17" s="37">
        <f>((Branco!$P$7-T17)/(Branco!$P$7))*100</f>
        <v>7.7464788732394361</v>
      </c>
      <c r="AF17" s="39">
        <f t="shared" si="9"/>
        <v>54.637338737012733</v>
      </c>
      <c r="AG17" s="38">
        <v>0</v>
      </c>
      <c r="AH17" s="38">
        <f t="shared" si="10"/>
        <v>0</v>
      </c>
      <c r="AI17" s="23">
        <f t="shared" si="11"/>
        <v>0</v>
      </c>
      <c r="AJ17" s="38">
        <f t="shared" si="12"/>
        <v>11.056322904699522</v>
      </c>
      <c r="AK17" s="23">
        <f t="shared" si="13"/>
        <v>8.6871108536924826</v>
      </c>
      <c r="AL17" s="38">
        <f t="shared" si="14"/>
        <v>2.0247092782840781</v>
      </c>
      <c r="AM17" s="151">
        <f t="shared" si="15"/>
        <v>23.594518226311202</v>
      </c>
      <c r="AN17" s="38">
        <f t="shared" si="43"/>
        <v>92.609296070282596</v>
      </c>
      <c r="AO17" s="38">
        <f t="shared" si="16"/>
        <v>0</v>
      </c>
      <c r="AP17" s="23">
        <f t="shared" si="17"/>
        <v>0</v>
      </c>
      <c r="AQ17" s="38">
        <f t="shared" si="30"/>
        <v>6.2467554545339805</v>
      </c>
      <c r="AR17" s="38">
        <f t="shared" si="31"/>
        <v>1.1439484751834275</v>
      </c>
      <c r="AS17" s="38">
        <f t="shared" si="32"/>
        <v>0</v>
      </c>
      <c r="AT17" s="38">
        <f t="shared" si="33"/>
        <v>86.399741984558844</v>
      </c>
      <c r="AU17" s="38">
        <f>((T17*3)+(U17*3)+(V17*2)+(W17*2)+(X17)+(Y17)+(AA17))/((Branco!$P$7)*3)*100</f>
        <v>93.294891172683961</v>
      </c>
      <c r="AV17" s="151">
        <f t="shared" si="34"/>
        <v>6.6929377593672337</v>
      </c>
      <c r="AW17" s="39">
        <f t="shared" si="35"/>
        <v>4.1014938878176511E-2</v>
      </c>
      <c r="AX17" s="23">
        <f t="shared" si="18"/>
        <v>0</v>
      </c>
      <c r="AY17" s="23">
        <f t="shared" si="19"/>
        <v>0</v>
      </c>
      <c r="AZ17" s="23">
        <f t="shared" si="20"/>
        <v>0</v>
      </c>
      <c r="BA17" s="23">
        <f t="shared" si="21"/>
        <v>2.8342235147730657</v>
      </c>
      <c r="BB17" s="151">
        <f t="shared" si="22"/>
        <v>6.0483163302266334</v>
      </c>
      <c r="BC17" s="39">
        <f t="shared" si="36"/>
        <v>1.7554393839859546</v>
      </c>
      <c r="BD17" s="23">
        <f>AX17*30.07</f>
        <v>0</v>
      </c>
      <c r="BE17">
        <f t="shared" si="38"/>
        <v>0</v>
      </c>
      <c r="BF17">
        <f t="shared" si="39"/>
        <v>0</v>
      </c>
      <c r="BG17">
        <f t="shared" si="40"/>
        <v>79.386600648793575</v>
      </c>
      <c r="BH17" s="14">
        <f t="shared" si="41"/>
        <v>12.096632660453267</v>
      </c>
      <c r="BI17" s="109"/>
      <c r="BJ17" s="1"/>
    </row>
    <row r="18" spans="1:62" x14ac:dyDescent="0.25">
      <c r="B18" s="5" t="s">
        <v>13</v>
      </c>
      <c r="C18" s="3" t="s">
        <v>16</v>
      </c>
      <c r="D18" s="29">
        <v>1.1128238541580499E-10</v>
      </c>
      <c r="E18" s="148">
        <f t="shared" si="42"/>
        <v>1</v>
      </c>
      <c r="F18" s="185">
        <f t="shared" si="25"/>
        <v>8.894874533661512E-2</v>
      </c>
      <c r="G18" s="17">
        <v>11</v>
      </c>
      <c r="H18" s="17">
        <v>150</v>
      </c>
      <c r="I18" s="40">
        <v>5746</v>
      </c>
      <c r="J18" s="41">
        <v>56</v>
      </c>
      <c r="K18" s="41"/>
      <c r="L18" s="41"/>
      <c r="M18" s="41"/>
      <c r="N18" s="41">
        <v>64599</v>
      </c>
      <c r="O18" s="41">
        <v>13</v>
      </c>
      <c r="P18" s="41">
        <v>18</v>
      </c>
      <c r="Q18" s="41">
        <v>3</v>
      </c>
      <c r="R18" s="41">
        <v>0</v>
      </c>
      <c r="S18" s="42">
        <v>33</v>
      </c>
      <c r="T18" s="32">
        <f t="shared" si="8"/>
        <v>8.5888775266901657E-7</v>
      </c>
      <c r="U18" s="163">
        <f t="shared" si="4"/>
        <v>8.8021193465744391E-9</v>
      </c>
      <c r="V18" s="163">
        <f t="shared" si="26"/>
        <v>0</v>
      </c>
      <c r="W18" s="163">
        <f t="shared" si="6"/>
        <v>0</v>
      </c>
      <c r="X18" s="163">
        <f t="shared" si="7"/>
        <v>0</v>
      </c>
      <c r="Y18" s="163">
        <f t="shared" si="27"/>
        <v>1.6539552148814717E-9</v>
      </c>
      <c r="Z18" s="163">
        <f t="shared" si="28"/>
        <v>1.5744381372429394E-9</v>
      </c>
      <c r="AA18" s="163">
        <f t="shared" si="29"/>
        <v>3.2618229806826512E-10</v>
      </c>
      <c r="AB18" s="163">
        <f t="shared" ref="AB18:AB28" si="44">R18*$D$16</f>
        <v>0</v>
      </c>
      <c r="AC18" s="33">
        <f t="shared" ref="AC18:AC28" si="45">S18*$D$19</f>
        <v>3.3009517200000001E-9</v>
      </c>
      <c r="AD18" s="37">
        <f>(Branco!$F$19-MoVOx_N2N2!F18)/Branco!$F$19*100</f>
        <v>3.6158141794244378</v>
      </c>
      <c r="AE18" s="37">
        <f>((Branco!$P$7-T18)/(Branco!$P$7))*100</f>
        <v>5.8958401572224099</v>
      </c>
      <c r="AF18" s="39">
        <f t="shared" si="9"/>
        <v>56.216106454545432</v>
      </c>
      <c r="AG18" s="38">
        <v>0</v>
      </c>
      <c r="AH18" s="38">
        <f t="shared" si="10"/>
        <v>0</v>
      </c>
      <c r="AI18" s="23">
        <f t="shared" si="11"/>
        <v>0</v>
      </c>
      <c r="AJ18" s="38">
        <f t="shared" si="12"/>
        <v>10.563242643036009</v>
      </c>
      <c r="AK18" s="23">
        <f t="shared" si="13"/>
        <v>10.055394439043894</v>
      </c>
      <c r="AL18" s="38">
        <f t="shared" si="14"/>
        <v>2.0832140612737815</v>
      </c>
      <c r="AM18" s="151">
        <f t="shared" si="15"/>
        <v>21.082042402100885</v>
      </c>
      <c r="AN18" s="38">
        <f t="shared" si="43"/>
        <v>93.024367839716376</v>
      </c>
      <c r="AO18" s="38">
        <f t="shared" si="16"/>
        <v>0</v>
      </c>
      <c r="AP18" s="23">
        <f t="shared" si="17"/>
        <v>0</v>
      </c>
      <c r="AQ18" s="38">
        <f t="shared" si="30"/>
        <v>5.8265565462719637</v>
      </c>
      <c r="AR18" s="38">
        <f t="shared" si="31"/>
        <v>1.1490756140116414</v>
      </c>
      <c r="AS18" s="38">
        <f t="shared" si="32"/>
        <v>0</v>
      </c>
      <c r="AT18" s="38">
        <f t="shared" si="33"/>
        <v>88.504205273636529</v>
      </c>
      <c r="AU18" s="38">
        <f>((T18*3)+(U18*3)+(V18*2)+(W18*2)+(X18)+(Y18)+(AA18))/((Branco!$P$7)*3)*100</f>
        <v>95.140883328690578</v>
      </c>
      <c r="AV18" s="151">
        <f t="shared" si="34"/>
        <v>5.2180664753536163</v>
      </c>
      <c r="AW18" s="39">
        <f t="shared" si="35"/>
        <v>3.1976791842917775E-2</v>
      </c>
      <c r="AX18" s="23">
        <f t="shared" si="18"/>
        <v>0</v>
      </c>
      <c r="AY18" s="23">
        <f t="shared" si="19"/>
        <v>0</v>
      </c>
      <c r="AZ18" s="23">
        <f t="shared" si="20"/>
        <v>0</v>
      </c>
      <c r="BA18" s="23">
        <f t="shared" si="21"/>
        <v>2.0609241049581462</v>
      </c>
      <c r="BB18" s="151">
        <f t="shared" si="22"/>
        <v>4.1131772540398455</v>
      </c>
      <c r="BC18" s="39">
        <f t="shared" si="36"/>
        <v>1.3686066908768806</v>
      </c>
      <c r="BD18" s="23">
        <f t="shared" si="37"/>
        <v>0</v>
      </c>
      <c r="BE18">
        <f t="shared" si="38"/>
        <v>0</v>
      </c>
      <c r="BF18">
        <f t="shared" si="39"/>
        <v>0</v>
      </c>
      <c r="BG18">
        <f t="shared" si="40"/>
        <v>57.72648417987768</v>
      </c>
      <c r="BH18" s="14">
        <f t="shared" si="41"/>
        <v>8.2263545080796909</v>
      </c>
      <c r="BI18" s="109">
        <f t="shared" ref="BI18:BI28" si="46">U18*3+V18*2+W18*2+X18+Y18+AA18</f>
        <v>2.8386495552673053E-8</v>
      </c>
      <c r="BJ18" s="1">
        <f t="shared" ref="BJ18:BJ28" si="47">(BI18/((3*T18)+BI18))*100</f>
        <v>1.0896719156278589</v>
      </c>
    </row>
    <row r="19" spans="1:62" ht="15.75" thickBot="1" x14ac:dyDescent="0.3">
      <c r="B19" s="6" t="s">
        <v>11</v>
      </c>
      <c r="C19" s="7" t="s">
        <v>17</v>
      </c>
      <c r="D19" s="30">
        <f>0.00000000010002884</f>
        <v>1.0002884E-10</v>
      </c>
      <c r="E19" s="148">
        <f t="shared" si="42"/>
        <v>0.89887397386606804</v>
      </c>
      <c r="F19" s="185">
        <f t="shared" si="25"/>
        <v>8.9362821723182648E-2</v>
      </c>
      <c r="G19" s="17">
        <v>12</v>
      </c>
      <c r="H19" s="17">
        <v>165</v>
      </c>
      <c r="I19" s="40">
        <v>5774</v>
      </c>
      <c r="J19" s="41">
        <v>55</v>
      </c>
      <c r="K19" s="41"/>
      <c r="L19" s="41"/>
      <c r="M19" s="41"/>
      <c r="N19" s="41">
        <v>64613</v>
      </c>
      <c r="O19" s="41">
        <v>12</v>
      </c>
      <c r="P19" s="41">
        <v>19</v>
      </c>
      <c r="Q19" s="41">
        <v>3</v>
      </c>
      <c r="R19" s="41">
        <v>0</v>
      </c>
      <c r="S19" s="42">
        <v>29</v>
      </c>
      <c r="T19" s="32">
        <f t="shared" si="8"/>
        <v>8.6307307412302507E-7</v>
      </c>
      <c r="U19" s="163">
        <f t="shared" si="4"/>
        <v>8.6449386439570388E-9</v>
      </c>
      <c r="V19" s="163">
        <f t="shared" si="26"/>
        <v>0</v>
      </c>
      <c r="W19" s="163">
        <f t="shared" si="6"/>
        <v>0</v>
      </c>
      <c r="X19" s="163">
        <f t="shared" si="7"/>
        <v>0</v>
      </c>
      <c r="Y19" s="163">
        <f t="shared" si="27"/>
        <v>1.5267278906598201E-9</v>
      </c>
      <c r="Z19" s="163">
        <f t="shared" si="28"/>
        <v>1.6619069226453249E-9</v>
      </c>
      <c r="AA19" s="163">
        <f t="shared" si="29"/>
        <v>3.2618229806826512E-10</v>
      </c>
      <c r="AB19" s="163">
        <f t="shared" si="44"/>
        <v>0</v>
      </c>
      <c r="AC19" s="33">
        <f t="shared" si="45"/>
        <v>2.90083636E-9</v>
      </c>
      <c r="AD19" s="37">
        <f>(Branco!$F$19-MoVOx_N2N2!F19)/Branco!$F$19*100</f>
        <v>3.1671241474762497</v>
      </c>
      <c r="AE19" s="37">
        <f>((Branco!$P$7-T19)/(Branco!$P$7))*100</f>
        <v>5.43727481166066</v>
      </c>
      <c r="AF19" s="39">
        <f t="shared" si="9"/>
        <v>57.401054206608514</v>
      </c>
      <c r="AG19" s="38">
        <v>0</v>
      </c>
      <c r="AH19" s="38">
        <f t="shared" si="10"/>
        <v>0</v>
      </c>
      <c r="AI19" s="23">
        <f t="shared" si="11"/>
        <v>0</v>
      </c>
      <c r="AJ19" s="38">
        <f t="shared" si="12"/>
        <v>10.137236829525024</v>
      </c>
      <c r="AK19" s="23">
        <f t="shared" si="13"/>
        <v>11.034804673805883</v>
      </c>
      <c r="AL19" s="38">
        <f t="shared" si="14"/>
        <v>2.1657999603895939</v>
      </c>
      <c r="AM19" s="151">
        <f t="shared" si="15"/>
        <v>19.261104329670985</v>
      </c>
      <c r="AN19" s="38">
        <f t="shared" si="43"/>
        <v>93.33191143209622</v>
      </c>
      <c r="AO19" s="38">
        <f t="shared" si="16"/>
        <v>0</v>
      </c>
      <c r="AP19" s="23">
        <f t="shared" si="17"/>
        <v>0</v>
      </c>
      <c r="AQ19" s="38">
        <f t="shared" si="30"/>
        <v>5.4942526928392601</v>
      </c>
      <c r="AR19" s="38">
        <f t="shared" si="31"/>
        <v>1.1738358750645101</v>
      </c>
      <c r="AS19" s="38">
        <f t="shared" si="32"/>
        <v>0</v>
      </c>
      <c r="AT19" s="38">
        <f t="shared" si="33"/>
        <v>89.204382863341422</v>
      </c>
      <c r="AU19" s="38">
        <f>((T19*3)+(U19*3)+(V19*2)+(W19*2)+(X19)+(Y19)+(AA19))/((Branco!$P$7)*3)*100</f>
        <v>95.577580588009496</v>
      </c>
      <c r="AV19" s="151">
        <f t="shared" si="34"/>
        <v>4.8502874403258014</v>
      </c>
      <c r="AW19" s="39">
        <f t="shared" si="35"/>
        <v>2.9723008051005338E-2</v>
      </c>
      <c r="AX19" s="23">
        <f t="shared" si="18"/>
        <v>0</v>
      </c>
      <c r="AY19" s="23">
        <f t="shared" si="19"/>
        <v>0</v>
      </c>
      <c r="AZ19" s="23">
        <f t="shared" si="20"/>
        <v>0</v>
      </c>
      <c r="BA19" s="23">
        <f t="shared" si="21"/>
        <v>1.8239793562013578</v>
      </c>
      <c r="BB19" s="151">
        <f t="shared" si="22"/>
        <v>3.4656245351433266</v>
      </c>
      <c r="BC19" s="39">
        <f t="shared" si="36"/>
        <v>1.2721447445830283</v>
      </c>
      <c r="BD19" s="23">
        <f t="shared" si="37"/>
        <v>0</v>
      </c>
      <c r="BE19">
        <f t="shared" si="38"/>
        <v>0</v>
      </c>
      <c r="BF19">
        <f t="shared" si="39"/>
        <v>0</v>
      </c>
      <c r="BG19">
        <f t="shared" si="40"/>
        <v>51.089661767200035</v>
      </c>
      <c r="BH19" s="14">
        <f t="shared" si="41"/>
        <v>6.9312490702866532</v>
      </c>
      <c r="BI19" s="109">
        <f t="shared" si="46"/>
        <v>2.77877261205992E-8</v>
      </c>
      <c r="BJ19" s="1">
        <f t="shared" si="47"/>
        <v>1.0618132342612248</v>
      </c>
    </row>
    <row r="20" spans="1:62" s="99" customFormat="1" ht="15.75" thickBot="1" x14ac:dyDescent="0.3">
      <c r="A20"/>
      <c r="B20" s="5"/>
      <c r="C20" s="3"/>
      <c r="D20"/>
      <c r="E20"/>
      <c r="F20" s="185">
        <f t="shared" si="25"/>
        <v>8.6357717349674457E-2</v>
      </c>
      <c r="G20" s="84">
        <v>13</v>
      </c>
      <c r="H20" s="84">
        <v>180</v>
      </c>
      <c r="I20" s="85">
        <v>5637</v>
      </c>
      <c r="J20" s="86">
        <v>53</v>
      </c>
      <c r="K20" s="86"/>
      <c r="L20" s="86"/>
      <c r="M20" s="86"/>
      <c r="N20" s="86">
        <v>65275</v>
      </c>
      <c r="O20" s="86">
        <v>10</v>
      </c>
      <c r="P20" s="86">
        <v>18</v>
      </c>
      <c r="Q20" s="86">
        <v>2</v>
      </c>
      <c r="R20" s="86">
        <v>0</v>
      </c>
      <c r="S20" s="87">
        <v>26</v>
      </c>
      <c r="T20" s="88">
        <f t="shared" si="8"/>
        <v>8.4259489415162662E-7</v>
      </c>
      <c r="U20" s="164">
        <f t="shared" si="4"/>
        <v>8.3305772387222381E-9</v>
      </c>
      <c r="V20" s="164">
        <f t="shared" si="26"/>
        <v>0</v>
      </c>
      <c r="W20" s="164">
        <f t="shared" si="6"/>
        <v>0</v>
      </c>
      <c r="X20" s="164">
        <f t="shared" si="7"/>
        <v>0</v>
      </c>
      <c r="Y20" s="164">
        <f t="shared" si="27"/>
        <v>1.2722732422165166E-9</v>
      </c>
      <c r="Z20" s="164">
        <f t="shared" si="28"/>
        <v>1.5744381372429394E-9</v>
      </c>
      <c r="AA20" s="164">
        <f t="shared" si="29"/>
        <v>2.1745486537884341E-10</v>
      </c>
      <c r="AB20" s="164">
        <f t="shared" si="44"/>
        <v>0</v>
      </c>
      <c r="AC20" s="89">
        <f t="shared" si="45"/>
        <v>2.6007498400000003E-9</v>
      </c>
      <c r="AD20" s="37">
        <f>(Branco!$F$19-MoVOx_N2N2!F20)/Branco!$F$19*100</f>
        <v>6.42343245458407</v>
      </c>
      <c r="AE20" s="90">
        <f>((Branco!$P$7-T20)/(Branco!$P$7))*100</f>
        <v>7.6809695381591894</v>
      </c>
      <c r="AF20" s="92">
        <f t="shared" si="9"/>
        <v>59.523284003845959</v>
      </c>
      <c r="AG20" s="91">
        <v>0</v>
      </c>
      <c r="AH20" s="91">
        <f t="shared" si="10"/>
        <v>0</v>
      </c>
      <c r="AI20" s="93">
        <f t="shared" si="11"/>
        <v>0</v>
      </c>
      <c r="AJ20" s="91">
        <f t="shared" si="12"/>
        <v>9.0905923271366511</v>
      </c>
      <c r="AK20" s="93">
        <f t="shared" si="13"/>
        <v>11.249608004831607</v>
      </c>
      <c r="AL20" s="91">
        <f t="shared" si="14"/>
        <v>1.5537491987708052</v>
      </c>
      <c r="AM20" s="101">
        <f t="shared" si="15"/>
        <v>18.582766465414981</v>
      </c>
      <c r="AN20" s="38">
        <f t="shared" si="43"/>
        <v>94.37444869916645</v>
      </c>
      <c r="AO20" s="91">
        <f t="shared" si="16"/>
        <v>0</v>
      </c>
      <c r="AP20" s="93">
        <f t="shared" si="17"/>
        <v>0</v>
      </c>
      <c r="AQ20" s="91">
        <f t="shared" si="30"/>
        <v>4.8043923963545749</v>
      </c>
      <c r="AR20" s="91">
        <f t="shared" si="31"/>
        <v>0.82115890447897066</v>
      </c>
      <c r="AS20" s="91">
        <f t="shared" si="32"/>
        <v>0</v>
      </c>
      <c r="AT20" s="38">
        <f t="shared" si="33"/>
        <v>88.038316933096937</v>
      </c>
      <c r="AU20" s="91">
        <f>((T20*3)+(U20*3)+(V20*2)+(W20*2)+(X20)+(Y20)+(AA20))/((Branco!$P$7)*3)*100</f>
        <v>93.286178776771521</v>
      </c>
      <c r="AV20" s="151">
        <f t="shared" si="34"/>
        <v>6.7621963055392191</v>
      </c>
      <c r="AW20" s="39">
        <f t="shared" si="35"/>
        <v>4.1439361626477093E-2</v>
      </c>
      <c r="AX20" s="93">
        <f t="shared" si="18"/>
        <v>0</v>
      </c>
      <c r="AY20" s="93">
        <f t="shared" si="19"/>
        <v>0</v>
      </c>
      <c r="AZ20" s="93">
        <f t="shared" si="20"/>
        <v>0</v>
      </c>
      <c r="BA20" s="93">
        <f t="shared" si="21"/>
        <v>2.3106132900048246</v>
      </c>
      <c r="BB20" s="101">
        <f t="shared" si="22"/>
        <v>4.7232991663116728</v>
      </c>
      <c r="BC20" s="92">
        <f t="shared" si="36"/>
        <v>1.7736046776132195</v>
      </c>
      <c r="BD20" s="93">
        <f t="shared" si="37"/>
        <v>0</v>
      </c>
      <c r="BE20" s="99">
        <f t="shared" si="38"/>
        <v>0</v>
      </c>
      <c r="BF20" s="99">
        <f t="shared" si="39"/>
        <v>0</v>
      </c>
      <c r="BG20" s="99">
        <f t="shared" si="40"/>
        <v>64.720278253035147</v>
      </c>
      <c r="BH20" s="100">
        <f t="shared" si="41"/>
        <v>9.4465983326233456</v>
      </c>
      <c r="BI20" s="177">
        <f t="shared" si="46"/>
        <v>2.6481459823762075E-8</v>
      </c>
      <c r="BJ20" s="178">
        <f t="shared" si="47"/>
        <v>1.0367541340127602</v>
      </c>
    </row>
    <row r="21" spans="1:62" x14ac:dyDescent="0.25">
      <c r="B21" s="224" t="s">
        <v>20</v>
      </c>
      <c r="C21" s="24">
        <v>3</v>
      </c>
      <c r="D21" s="13" t="s">
        <v>21</v>
      </c>
      <c r="F21" s="185">
        <f t="shared" si="25"/>
        <v>8.7235856525181177E-2</v>
      </c>
      <c r="G21" s="17">
        <v>14</v>
      </c>
      <c r="H21" s="17">
        <v>195</v>
      </c>
      <c r="I21" s="40">
        <v>5730</v>
      </c>
      <c r="J21" s="41">
        <v>53</v>
      </c>
      <c r="K21" s="41"/>
      <c r="L21" s="41"/>
      <c r="M21" s="41"/>
      <c r="N21" s="41">
        <v>65684</v>
      </c>
      <c r="O21" s="41">
        <v>10</v>
      </c>
      <c r="P21" s="41">
        <v>16</v>
      </c>
      <c r="Q21" s="41">
        <v>3</v>
      </c>
      <c r="R21" s="41">
        <v>0</v>
      </c>
      <c r="S21" s="42">
        <v>24</v>
      </c>
      <c r="T21" s="32">
        <f t="shared" si="8"/>
        <v>8.5649614040958315E-7</v>
      </c>
      <c r="U21" s="163">
        <f t="shared" si="4"/>
        <v>8.3305772387222381E-9</v>
      </c>
      <c r="V21" s="163">
        <f t="shared" si="26"/>
        <v>0</v>
      </c>
      <c r="W21" s="163">
        <f t="shared" si="6"/>
        <v>0</v>
      </c>
      <c r="X21" s="163">
        <f t="shared" si="7"/>
        <v>0</v>
      </c>
      <c r="Y21" s="163">
        <f t="shared" si="27"/>
        <v>1.2722732422165166E-9</v>
      </c>
      <c r="Z21" s="163">
        <f t="shared" si="28"/>
        <v>1.3995005664381684E-9</v>
      </c>
      <c r="AA21" s="163">
        <f t="shared" si="29"/>
        <v>3.2618229806826512E-10</v>
      </c>
      <c r="AB21" s="163">
        <f t="shared" si="44"/>
        <v>0</v>
      </c>
      <c r="AC21" s="33">
        <f t="shared" si="45"/>
        <v>2.40069216E-9</v>
      </c>
      <c r="AD21" s="37">
        <f>(Branco!$F$19-MoVOx_N2N2!F21)/Branco!$F$19*100</f>
        <v>5.4718875041964923</v>
      </c>
      <c r="AE21" s="37">
        <f>((Branco!$P$7-T21)/(Branco!$P$7))*100</f>
        <v>6.1578774975434083</v>
      </c>
      <c r="AF21" s="39">
        <f t="shared" si="9"/>
        <v>60.677692528382053</v>
      </c>
      <c r="AG21" s="38">
        <v>0</v>
      </c>
      <c r="AH21" s="38">
        <f t="shared" si="10"/>
        <v>0</v>
      </c>
      <c r="AI21" s="23">
        <f t="shared" si="11"/>
        <v>0</v>
      </c>
      <c r="AJ21" s="38">
        <f t="shared" si="12"/>
        <v>9.2668974059164277</v>
      </c>
      <c r="AK21" s="23">
        <f t="shared" si="13"/>
        <v>10.193587146508072</v>
      </c>
      <c r="AL21" s="38">
        <f t="shared" si="14"/>
        <v>2.3758244624862273</v>
      </c>
      <c r="AM21" s="151">
        <f t="shared" si="15"/>
        <v>17.485998456707225</v>
      </c>
      <c r="AN21" s="38">
        <f t="shared" si="43"/>
        <v>93.988551021215713</v>
      </c>
      <c r="AO21" s="38">
        <f t="shared" si="16"/>
        <v>0</v>
      </c>
      <c r="AP21" s="23">
        <f t="shared" si="17"/>
        <v>0</v>
      </c>
      <c r="AQ21" s="38">
        <f t="shared" si="30"/>
        <v>4.7847472074790636</v>
      </c>
      <c r="AR21" s="38">
        <f t="shared" si="31"/>
        <v>1.2267017713052191</v>
      </c>
      <c r="AS21" s="38">
        <f t="shared" si="32"/>
        <v>0</v>
      </c>
      <c r="AT21" s="38">
        <f t="shared" si="33"/>
        <v>89.113592077932296</v>
      </c>
      <c r="AU21" s="38">
        <f>((T21*3)+(U21*3)+(V21*2)+(W21*2)+(X21)+(Y21)+(AA21))/((Branco!$P$7)*3)*100</f>
        <v>94.813241729641092</v>
      </c>
      <c r="AV21" s="151">
        <f t="shared" si="34"/>
        <v>5.4875058338196183</v>
      </c>
      <c r="AW21" s="39">
        <f t="shared" si="35"/>
        <v>3.362794104169696E-2</v>
      </c>
      <c r="AX21" s="23">
        <f t="shared" si="18"/>
        <v>0</v>
      </c>
      <c r="AY21" s="23">
        <f t="shared" si="19"/>
        <v>0</v>
      </c>
      <c r="AZ21" s="23">
        <f t="shared" si="20"/>
        <v>0</v>
      </c>
      <c r="BA21" s="23">
        <f t="shared" si="21"/>
        <v>1.8883584766717341</v>
      </c>
      <c r="BB21" s="151">
        <f t="shared" si="22"/>
        <v>3.5632026515919475</v>
      </c>
      <c r="BC21" s="39">
        <f t="shared" si="36"/>
        <v>1.4392758765846299</v>
      </c>
      <c r="BD21" s="23">
        <f t="shared" si="37"/>
        <v>0</v>
      </c>
      <c r="BE21">
        <f t="shared" si="38"/>
        <v>0</v>
      </c>
      <c r="BF21">
        <f t="shared" si="39"/>
        <v>0</v>
      </c>
      <c r="BG21">
        <f t="shared" si="40"/>
        <v>52.892920931575276</v>
      </c>
      <c r="BH21" s="14">
        <f t="shared" si="41"/>
        <v>7.126405303183895</v>
      </c>
      <c r="BI21" s="109">
        <f t="shared" si="46"/>
        <v>2.6590187256451495E-8</v>
      </c>
      <c r="BJ21" s="1">
        <f t="shared" si="47"/>
        <v>1.0242443032942958</v>
      </c>
    </row>
    <row r="22" spans="1:62" x14ac:dyDescent="0.25">
      <c r="B22" s="229"/>
      <c r="C22" s="23">
        <f>(C21/1000)*60</f>
        <v>0.18</v>
      </c>
      <c r="D22" s="14" t="s">
        <v>22</v>
      </c>
      <c r="F22" s="185">
        <f t="shared" si="25"/>
        <v>8.63701795590575E-2</v>
      </c>
      <c r="G22" s="17">
        <v>15</v>
      </c>
      <c r="H22" s="17">
        <v>210</v>
      </c>
      <c r="I22" s="40">
        <v>5700</v>
      </c>
      <c r="J22" s="41">
        <v>52</v>
      </c>
      <c r="K22" s="41"/>
      <c r="L22" s="41"/>
      <c r="M22" s="41"/>
      <c r="N22" s="41">
        <v>65995</v>
      </c>
      <c r="O22" s="41">
        <v>9</v>
      </c>
      <c r="P22" s="41">
        <v>17</v>
      </c>
      <c r="Q22" s="41">
        <v>2</v>
      </c>
      <c r="R22" s="41">
        <v>0</v>
      </c>
      <c r="S22" s="42">
        <v>22</v>
      </c>
      <c r="T22" s="32">
        <f t="shared" si="8"/>
        <v>8.5201186742314559E-7</v>
      </c>
      <c r="U22" s="163">
        <f t="shared" si="4"/>
        <v>8.1733965361048361E-9</v>
      </c>
      <c r="V22" s="163">
        <f t="shared" si="26"/>
        <v>0</v>
      </c>
      <c r="W22" s="163">
        <f t="shared" si="6"/>
        <v>0</v>
      </c>
      <c r="X22" s="163">
        <f t="shared" si="7"/>
        <v>0</v>
      </c>
      <c r="Y22" s="163">
        <f t="shared" si="27"/>
        <v>1.1450459179948651E-9</v>
      </c>
      <c r="Z22" s="163">
        <f t="shared" si="28"/>
        <v>1.4869693518405539E-9</v>
      </c>
      <c r="AA22" s="163">
        <f t="shared" si="29"/>
        <v>2.1745486537884341E-10</v>
      </c>
      <c r="AB22" s="163">
        <f t="shared" si="44"/>
        <v>0</v>
      </c>
      <c r="AC22" s="33">
        <f t="shared" si="45"/>
        <v>2.2006344800000002E-9</v>
      </c>
      <c r="AD22" s="37">
        <f>(Branco!$F$19-MoVOx_N2N2!F22)/Branco!$F$19*100</f>
        <v>6.4099284990154493</v>
      </c>
      <c r="AE22" s="37">
        <f>((Branco!$P$7-T22)/(Branco!$P$7))*100</f>
        <v>6.6491975106452701</v>
      </c>
      <c r="AF22" s="39">
        <f t="shared" si="9"/>
        <v>61.809625473428454</v>
      </c>
      <c r="AG22" s="38">
        <v>0</v>
      </c>
      <c r="AH22" s="38">
        <f t="shared" si="10"/>
        <v>0</v>
      </c>
      <c r="AI22" s="23">
        <f t="shared" si="11"/>
        <v>0</v>
      </c>
      <c r="AJ22" s="38">
        <f t="shared" si="12"/>
        <v>8.6591735796131566</v>
      </c>
      <c r="AK22" s="23">
        <f t="shared" si="13"/>
        <v>11.244899023525418</v>
      </c>
      <c r="AL22" s="38">
        <f t="shared" si="14"/>
        <v>1.6444575675569202</v>
      </c>
      <c r="AM22" s="151">
        <f t="shared" si="15"/>
        <v>16.641844355876035</v>
      </c>
      <c r="AN22" s="38">
        <f t="shared" si="43"/>
        <v>94.735861060984377</v>
      </c>
      <c r="AO22" s="38">
        <f t="shared" si="16"/>
        <v>0</v>
      </c>
      <c r="AP22" s="23">
        <f t="shared" si="17"/>
        <v>0</v>
      </c>
      <c r="AQ22" s="38">
        <f t="shared" si="30"/>
        <v>4.4239833675195417</v>
      </c>
      <c r="AR22" s="38">
        <f t="shared" si="31"/>
        <v>0.84015557149605802</v>
      </c>
      <c r="AS22" s="38">
        <f t="shared" si="32"/>
        <v>0</v>
      </c>
      <c r="AT22" s="38">
        <f t="shared" si="33"/>
        <v>89.332205909715753</v>
      </c>
      <c r="AU22" s="38">
        <f>((T22*3)+(U22*3)+(V22*2)+(W22*2)+(X22)+(Y22)+(AA22))/((Branco!$P$7)*3)*100</f>
        <v>94.296082718042612</v>
      </c>
      <c r="AV22" s="151">
        <f t="shared" si="34"/>
        <v>5.9398748115533273</v>
      </c>
      <c r="AW22" s="39">
        <f t="shared" si="35"/>
        <v>3.640009979159177E-2</v>
      </c>
      <c r="AX22" s="23">
        <f t="shared" si="18"/>
        <v>0</v>
      </c>
      <c r="AY22" s="23">
        <f t="shared" si="19"/>
        <v>0</v>
      </c>
      <c r="AZ22" s="23">
        <f t="shared" si="20"/>
        <v>0</v>
      </c>
      <c r="BA22" s="23">
        <f t="shared" si="21"/>
        <v>1.9053059394252663</v>
      </c>
      <c r="BB22" s="151">
        <f t="shared" si="22"/>
        <v>3.6617587813337238</v>
      </c>
      <c r="BC22" s="39">
        <f t="shared" si="36"/>
        <v>1.5579242710801275</v>
      </c>
      <c r="BD22" s="23">
        <f t="shared" si="37"/>
        <v>0</v>
      </c>
      <c r="BE22">
        <f t="shared" si="38"/>
        <v>0</v>
      </c>
      <c r="BF22">
        <f t="shared" si="39"/>
        <v>0</v>
      </c>
      <c r="BG22">
        <f t="shared" si="40"/>
        <v>53.367619363301714</v>
      </c>
      <c r="BH22" s="14">
        <f t="shared" si="41"/>
        <v>7.3235175626674476</v>
      </c>
      <c r="BI22" s="109">
        <f t="shared" si="46"/>
        <v>2.5882690391688216E-8</v>
      </c>
      <c r="BJ22" s="1">
        <f t="shared" si="47"/>
        <v>1.0024597008068565</v>
      </c>
    </row>
    <row r="23" spans="1:62" ht="18.75" thickBot="1" x14ac:dyDescent="0.4">
      <c r="B23" s="225"/>
      <c r="C23" s="25">
        <f>(1*C22)/(0.082057*298)</f>
        <v>7.3610642070461238E-3</v>
      </c>
      <c r="D23" s="15" t="s">
        <v>23</v>
      </c>
      <c r="F23" s="185">
        <f t="shared" si="25"/>
        <v>9.0437372388277371E-2</v>
      </c>
      <c r="G23" s="17">
        <v>16</v>
      </c>
      <c r="H23" s="17">
        <v>225</v>
      </c>
      <c r="I23" s="40">
        <v>5891</v>
      </c>
      <c r="J23" s="41">
        <v>54</v>
      </c>
      <c r="K23" s="41"/>
      <c r="L23" s="41"/>
      <c r="M23" s="41"/>
      <c r="N23" s="41">
        <v>65139</v>
      </c>
      <c r="O23" s="41">
        <v>10</v>
      </c>
      <c r="P23" s="41">
        <v>19</v>
      </c>
      <c r="Q23" s="41">
        <v>2</v>
      </c>
      <c r="R23" s="41">
        <v>0</v>
      </c>
      <c r="S23" s="42">
        <v>21</v>
      </c>
      <c r="T23" s="32">
        <f t="shared" si="8"/>
        <v>8.8056173877013167E-7</v>
      </c>
      <c r="U23" s="163">
        <f t="shared" si="4"/>
        <v>8.4877579413396384E-9</v>
      </c>
      <c r="V23" s="163">
        <f t="shared" si="26"/>
        <v>0</v>
      </c>
      <c r="W23" s="163">
        <f t="shared" si="6"/>
        <v>0</v>
      </c>
      <c r="X23" s="163">
        <f t="shared" si="7"/>
        <v>0</v>
      </c>
      <c r="Y23" s="163">
        <f t="shared" si="27"/>
        <v>1.2722732422165166E-9</v>
      </c>
      <c r="Z23" s="163">
        <f t="shared" si="28"/>
        <v>1.6619069226453249E-9</v>
      </c>
      <c r="AA23" s="163">
        <f t="shared" si="29"/>
        <v>2.1745486537884341E-10</v>
      </c>
      <c r="AB23" s="163">
        <f t="shared" si="44"/>
        <v>0</v>
      </c>
      <c r="AC23" s="33">
        <f t="shared" si="45"/>
        <v>2.1006056400000003E-9</v>
      </c>
      <c r="AD23" s="37">
        <f>(Branco!$F$19-MoVOx_N2N2!F23)/Branco!$F$19*100</f>
        <v>2.0027491966417372</v>
      </c>
      <c r="AE23" s="37">
        <f>((Branco!$P$7-T23)/(Branco!$P$7))*100</f>
        <v>3.5211267605633867</v>
      </c>
      <c r="AF23" s="39">
        <f t="shared" si="9"/>
        <v>61.774081506718623</v>
      </c>
      <c r="AG23" s="38">
        <v>0</v>
      </c>
      <c r="AH23" s="38">
        <f t="shared" si="10"/>
        <v>0</v>
      </c>
      <c r="AI23" s="23">
        <f t="shared" si="11"/>
        <v>0</v>
      </c>
      <c r="AJ23" s="38">
        <f t="shared" si="12"/>
        <v>9.2596315194982708</v>
      </c>
      <c r="AK23" s="23">
        <f t="shared" si="13"/>
        <v>12.095393672344617</v>
      </c>
      <c r="AL23" s="38">
        <f t="shared" si="14"/>
        <v>1.5826411015468986</v>
      </c>
      <c r="AM23" s="151">
        <f t="shared" si="15"/>
        <v>15.28825219989157</v>
      </c>
      <c r="AN23" s="38">
        <f t="shared" si="43"/>
        <v>94.47286758122479</v>
      </c>
      <c r="AO23" s="38">
        <f t="shared" si="16"/>
        <v>0</v>
      </c>
      <c r="AP23" s="23">
        <f t="shared" si="17"/>
        <v>0</v>
      </c>
      <c r="AQ23" s="38">
        <f t="shared" si="30"/>
        <v>4.7203396691936401</v>
      </c>
      <c r="AR23" s="38">
        <f t="shared" si="31"/>
        <v>0.80679274958156599</v>
      </c>
      <c r="AS23" s="38">
        <f t="shared" si="32"/>
        <v>0</v>
      </c>
      <c r="AT23" s="38">
        <f t="shared" si="33"/>
        <v>92.076320575902244</v>
      </c>
      <c r="AU23" s="38">
        <f>((T23*3)+(U23*3)+(V23*2)+(W23*2)+(X23)+(Y23)+(AA23))/((Branco!$P$7)*3)*100</f>
        <v>97.463243080599753</v>
      </c>
      <c r="AV23" s="151">
        <f t="shared" si="34"/>
        <v>3.2421239639402257</v>
      </c>
      <c r="AW23" s="39">
        <f t="shared" si="35"/>
        <v>1.9868034187285125E-2</v>
      </c>
      <c r="AX23" s="23">
        <f t="shared" si="18"/>
        <v>0</v>
      </c>
      <c r="AY23" s="23">
        <f t="shared" si="19"/>
        <v>0</v>
      </c>
      <c r="AZ23" s="23">
        <f t="shared" si="20"/>
        <v>0</v>
      </c>
      <c r="BA23" s="23">
        <f t="shared" si="21"/>
        <v>1.0789328265704976</v>
      </c>
      <c r="BB23" s="151">
        <f t="shared" si="22"/>
        <v>1.7813880740953516</v>
      </c>
      <c r="BC23" s="39">
        <f t="shared" si="36"/>
        <v>0.85035186321580325</v>
      </c>
      <c r="BD23" s="23">
        <f t="shared" si="37"/>
        <v>0</v>
      </c>
      <c r="BE23">
        <f t="shared" si="38"/>
        <v>0</v>
      </c>
      <c r="BF23">
        <f t="shared" si="39"/>
        <v>0</v>
      </c>
      <c r="BG23">
        <f t="shared" si="40"/>
        <v>30.220908472239639</v>
      </c>
      <c r="BH23" s="14">
        <f t="shared" si="41"/>
        <v>3.5627761481907032</v>
      </c>
      <c r="BI23" s="109">
        <f t="shared" si="46"/>
        <v>2.6953001931614276E-8</v>
      </c>
      <c r="BJ23" s="1">
        <f t="shared" si="47"/>
        <v>1.0099908540382749</v>
      </c>
    </row>
    <row r="24" spans="1:62" s="99" customFormat="1" x14ac:dyDescent="0.25">
      <c r="A24"/>
      <c r="B24" s="224" t="s">
        <v>83</v>
      </c>
      <c r="C24" s="24">
        <v>27</v>
      </c>
      <c r="D24" s="13" t="s">
        <v>21</v>
      </c>
      <c r="E24"/>
      <c r="F24" s="185">
        <f t="shared" si="25"/>
        <v>8.762137423464654E-2</v>
      </c>
      <c r="G24" s="84">
        <v>17</v>
      </c>
      <c r="H24" s="84">
        <v>240</v>
      </c>
      <c r="I24" s="85">
        <v>5667</v>
      </c>
      <c r="J24" s="86">
        <v>51</v>
      </c>
      <c r="K24" s="86"/>
      <c r="L24" s="86"/>
      <c r="M24" s="86"/>
      <c r="N24" s="86">
        <v>64676</v>
      </c>
      <c r="O24" s="86">
        <v>9</v>
      </c>
      <c r="P24" s="86">
        <v>17</v>
      </c>
      <c r="Q24" s="86">
        <v>2</v>
      </c>
      <c r="R24" s="86">
        <v>0</v>
      </c>
      <c r="S24" s="87">
        <v>19</v>
      </c>
      <c r="T24" s="88">
        <f t="shared" si="8"/>
        <v>8.4707916713806418E-7</v>
      </c>
      <c r="U24" s="164">
        <f t="shared" si="4"/>
        <v>8.0162158334874357E-9</v>
      </c>
      <c r="V24" s="164">
        <f t="shared" si="26"/>
        <v>0</v>
      </c>
      <c r="W24" s="164">
        <f t="shared" si="6"/>
        <v>0</v>
      </c>
      <c r="X24" s="164">
        <f t="shared" si="7"/>
        <v>0</v>
      </c>
      <c r="Y24" s="164">
        <f t="shared" si="27"/>
        <v>1.1450459179948651E-9</v>
      </c>
      <c r="Z24" s="164">
        <f t="shared" si="28"/>
        <v>1.4869693518405539E-9</v>
      </c>
      <c r="AA24" s="164">
        <f t="shared" si="29"/>
        <v>2.1745486537884341E-10</v>
      </c>
      <c r="AB24" s="164">
        <f t="shared" si="44"/>
        <v>0</v>
      </c>
      <c r="AC24" s="89">
        <f t="shared" si="45"/>
        <v>1.90054796E-9</v>
      </c>
      <c r="AD24" s="37">
        <f>(Branco!$F$19-MoVOx_N2N2!F24)/Branco!$F$19*100</f>
        <v>5.0541434381547141</v>
      </c>
      <c r="AE24" s="90">
        <f>((Branco!$P$7-T24)/(Branco!$P$7))*100</f>
        <v>7.1896495250573276</v>
      </c>
      <c r="AF24" s="92">
        <f t="shared" si="9"/>
        <v>62.792330755156925</v>
      </c>
      <c r="AG24" s="91">
        <v>0</v>
      </c>
      <c r="AH24" s="91">
        <f t="shared" si="10"/>
        <v>0</v>
      </c>
      <c r="AI24" s="93">
        <f t="shared" si="11"/>
        <v>0</v>
      </c>
      <c r="AJ24" s="91">
        <f t="shared" si="12"/>
        <v>8.9693321020893588</v>
      </c>
      <c r="AK24" s="93">
        <f t="shared" si="13"/>
        <v>11.647674327018818</v>
      </c>
      <c r="AL24" s="91">
        <f t="shared" si="14"/>
        <v>1.7033595545351106</v>
      </c>
      <c r="AM24" s="101">
        <f t="shared" si="15"/>
        <v>14.887303261199772</v>
      </c>
      <c r="AN24" s="38">
        <f t="shared" si="43"/>
        <v>94.63817703885347</v>
      </c>
      <c r="AO24" s="91">
        <f t="shared" si="16"/>
        <v>0</v>
      </c>
      <c r="AP24" s="93">
        <f t="shared" si="17"/>
        <v>0</v>
      </c>
      <c r="AQ24" s="91">
        <f t="shared" si="30"/>
        <v>4.506077038333709</v>
      </c>
      <c r="AR24" s="91">
        <f t="shared" si="31"/>
        <v>0.85574592281280748</v>
      </c>
      <c r="AS24" s="91">
        <f t="shared" si="32"/>
        <v>0</v>
      </c>
      <c r="AT24" s="38">
        <f t="shared" si="33"/>
        <v>88.712321630710903</v>
      </c>
      <c r="AU24" s="91">
        <f>((T24*3)+(U24*3)+(V24*2)+(W24*2)+(X24)+(Y24)+(AA24))/((Branco!$P$7)*3)*100</f>
        <v>93.738409177398125</v>
      </c>
      <c r="AV24" s="151">
        <f t="shared" si="34"/>
        <v>6.378105010789735</v>
      </c>
      <c r="AW24" s="39">
        <f t="shared" si="35"/>
        <v>3.9085614804949917E-2</v>
      </c>
      <c r="AX24" s="93">
        <f t="shared" si="18"/>
        <v>0</v>
      </c>
      <c r="AY24" s="93">
        <f t="shared" si="19"/>
        <v>0</v>
      </c>
      <c r="AZ24" s="93">
        <f t="shared" si="20"/>
        <v>0</v>
      </c>
      <c r="BA24" s="93">
        <f t="shared" si="21"/>
        <v>2.1339629118490997</v>
      </c>
      <c r="BB24" s="101">
        <f t="shared" si="22"/>
        <v>3.5419530300868285</v>
      </c>
      <c r="BC24" s="92">
        <f t="shared" si="36"/>
        <v>1.6728643136518564</v>
      </c>
      <c r="BD24" s="93">
        <f t="shared" si="37"/>
        <v>0</v>
      </c>
      <c r="BE24" s="99">
        <f t="shared" si="38"/>
        <v>0</v>
      </c>
      <c r="BF24" s="99">
        <f t="shared" si="39"/>
        <v>0</v>
      </c>
      <c r="BG24" s="99">
        <f t="shared" si="40"/>
        <v>59.772301160893285</v>
      </c>
      <c r="BH24" s="100">
        <f t="shared" si="41"/>
        <v>7.083906060173657</v>
      </c>
      <c r="BI24" s="177">
        <f t="shared" si="46"/>
        <v>2.5411148283836015E-8</v>
      </c>
      <c r="BJ24" s="178">
        <f t="shared" si="47"/>
        <v>0.99005168809629185</v>
      </c>
    </row>
    <row r="25" spans="1:62" x14ac:dyDescent="0.25">
      <c r="B25" s="229"/>
      <c r="C25" s="23">
        <f>(C24/1000)*60</f>
        <v>1.6199999999999999</v>
      </c>
      <c r="D25" s="14" t="s">
        <v>22</v>
      </c>
      <c r="F25" s="185">
        <f t="shared" si="25"/>
        <v>8.8469446119123801E-2</v>
      </c>
      <c r="G25" s="17">
        <v>18</v>
      </c>
      <c r="H25" s="17">
        <v>255</v>
      </c>
      <c r="I25" s="40">
        <v>5723</v>
      </c>
      <c r="J25" s="41">
        <v>51</v>
      </c>
      <c r="K25" s="41"/>
      <c r="L25" s="41"/>
      <c r="M25" s="41"/>
      <c r="N25" s="41">
        <v>64689</v>
      </c>
      <c r="O25" s="41">
        <v>9</v>
      </c>
      <c r="P25" s="41">
        <v>17</v>
      </c>
      <c r="Q25" s="41">
        <v>2</v>
      </c>
      <c r="R25" s="41">
        <v>0</v>
      </c>
      <c r="S25" s="42">
        <v>18</v>
      </c>
      <c r="T25" s="32">
        <f t="shared" si="8"/>
        <v>8.5544981004608108E-7</v>
      </c>
      <c r="U25" s="163">
        <f t="shared" si="4"/>
        <v>8.0162158334874357E-9</v>
      </c>
      <c r="V25" s="163">
        <f t="shared" si="26"/>
        <v>0</v>
      </c>
      <c r="W25" s="163">
        <f t="shared" si="6"/>
        <v>0</v>
      </c>
      <c r="X25" s="163">
        <f t="shared" si="7"/>
        <v>0</v>
      </c>
      <c r="Y25" s="163">
        <f t="shared" si="27"/>
        <v>1.1450459179948651E-9</v>
      </c>
      <c r="Z25" s="163">
        <f t="shared" si="28"/>
        <v>1.4869693518405539E-9</v>
      </c>
      <c r="AA25" s="163">
        <f t="shared" si="29"/>
        <v>2.1745486537884341E-10</v>
      </c>
      <c r="AB25" s="163">
        <f t="shared" si="44"/>
        <v>0</v>
      </c>
      <c r="AC25" s="33">
        <f t="shared" si="45"/>
        <v>1.8005191200000001E-9</v>
      </c>
      <c r="AD25" s="37">
        <f>(Branco!$F$19-MoVOx_N2N2!F25)/Branco!$F$19*100</f>
        <v>4.1351791762831747</v>
      </c>
      <c r="AE25" s="37">
        <f>((Branco!$P$7-T25)/(Branco!$P$7))*100</f>
        <v>6.2725188339338391</v>
      </c>
      <c r="AF25" s="39">
        <f t="shared" si="9"/>
        <v>63.288220720805555</v>
      </c>
      <c r="AG25" s="38">
        <v>0</v>
      </c>
      <c r="AH25" s="38">
        <f t="shared" si="10"/>
        <v>0</v>
      </c>
      <c r="AI25" s="23">
        <f t="shared" si="11"/>
        <v>0</v>
      </c>
      <c r="AJ25" s="38">
        <f t="shared" si="12"/>
        <v>9.04016562163714</v>
      </c>
      <c r="AK25" s="23">
        <f t="shared" si="13"/>
        <v>11.739659522542675</v>
      </c>
      <c r="AL25" s="38">
        <f t="shared" si="14"/>
        <v>1.7168114984401601</v>
      </c>
      <c r="AM25" s="151">
        <f t="shared" si="15"/>
        <v>14.215142636574468</v>
      </c>
      <c r="AN25" s="38">
        <f t="shared" si="43"/>
        <v>94.63817703885347</v>
      </c>
      <c r="AO25" s="38">
        <f t="shared" si="16"/>
        <v>0</v>
      </c>
      <c r="AP25" s="23">
        <f t="shared" si="17"/>
        <v>0</v>
      </c>
      <c r="AQ25" s="38">
        <f t="shared" si="30"/>
        <v>4.506077038333709</v>
      </c>
      <c r="AR25" s="38">
        <f t="shared" si="31"/>
        <v>0.85574592281280748</v>
      </c>
      <c r="AS25" s="38">
        <f t="shared" si="32"/>
        <v>0</v>
      </c>
      <c r="AT25" s="38">
        <f t="shared" si="33"/>
        <v>89.580277397854005</v>
      </c>
      <c r="AU25" s="38">
        <f>((T25*3)+(U25*3)+(V25*2)+(W25*2)+(X25)+(Y25)+(AA25))/((Branco!$P$7)*3)*100</f>
        <v>94.655539868521601</v>
      </c>
      <c r="AV25" s="151">
        <f t="shared" si="34"/>
        <v>5.6189397712705702</v>
      </c>
      <c r="AW25" s="39">
        <f t="shared" si="35"/>
        <v>3.4433380312893544E-2</v>
      </c>
      <c r="AX25" s="23">
        <f t="shared" si="18"/>
        <v>0</v>
      </c>
      <c r="AY25" s="23">
        <f t="shared" si="19"/>
        <v>0</v>
      </c>
      <c r="AZ25" s="23">
        <f t="shared" si="20"/>
        <v>0</v>
      </c>
      <c r="BA25" s="23">
        <f t="shared" si="21"/>
        <v>1.8764517569173174</v>
      </c>
      <c r="BB25" s="151">
        <f t="shared" si="22"/>
        <v>2.9506129081736736</v>
      </c>
      <c r="BC25" s="39">
        <f t="shared" si="36"/>
        <v>1.4737486773918436</v>
      </c>
      <c r="BD25" s="23">
        <f t="shared" si="37"/>
        <v>0</v>
      </c>
      <c r="BE25">
        <f t="shared" si="38"/>
        <v>0</v>
      </c>
      <c r="BF25">
        <f t="shared" si="39"/>
        <v>0</v>
      </c>
      <c r="BG25">
        <f t="shared" si="40"/>
        <v>52.559413711254059</v>
      </c>
      <c r="BH25" s="14">
        <f t="shared" si="41"/>
        <v>5.9012258163473472</v>
      </c>
      <c r="BI25" s="109">
        <f t="shared" si="46"/>
        <v>2.5411148283836015E-8</v>
      </c>
      <c r="BJ25" s="1">
        <f t="shared" si="47"/>
        <v>0.98045893958719277</v>
      </c>
    </row>
    <row r="26" spans="1:62" ht="18.75" thickBot="1" x14ac:dyDescent="0.4">
      <c r="B26" s="225"/>
      <c r="C26" s="25">
        <f>(1*C25)/(0.082057*298)</f>
        <v>6.6249577863415121E-2</v>
      </c>
      <c r="D26" s="15" t="s">
        <v>89</v>
      </c>
      <c r="F26" s="185">
        <f t="shared" si="25"/>
        <v>8.8535632077366325E-2</v>
      </c>
      <c r="G26" s="17">
        <v>19</v>
      </c>
      <c r="H26" s="17">
        <v>270</v>
      </c>
      <c r="I26" s="40">
        <v>5731</v>
      </c>
      <c r="J26" s="41">
        <v>51</v>
      </c>
      <c r="K26" s="41"/>
      <c r="L26" s="41"/>
      <c r="M26" s="41"/>
      <c r="N26" s="41">
        <v>64731</v>
      </c>
      <c r="O26" s="41">
        <v>8</v>
      </c>
      <c r="P26" s="41">
        <v>18</v>
      </c>
      <c r="Q26" s="41">
        <v>3</v>
      </c>
      <c r="R26" s="41">
        <v>0</v>
      </c>
      <c r="S26" s="42">
        <v>17</v>
      </c>
      <c r="T26" s="32">
        <f t="shared" si="8"/>
        <v>8.5664561617579773E-7</v>
      </c>
      <c r="U26" s="163">
        <f t="shared" si="4"/>
        <v>8.0162158334874357E-9</v>
      </c>
      <c r="V26" s="163">
        <f t="shared" si="26"/>
        <v>0</v>
      </c>
      <c r="W26" s="163">
        <f t="shared" si="6"/>
        <v>0</v>
      </c>
      <c r="X26" s="163">
        <f t="shared" si="7"/>
        <v>0</v>
      </c>
      <c r="Y26" s="163">
        <f t="shared" si="27"/>
        <v>1.0178185937732133E-9</v>
      </c>
      <c r="Z26" s="163">
        <f t="shared" si="28"/>
        <v>1.5744381372429394E-9</v>
      </c>
      <c r="AA26" s="163">
        <f t="shared" si="29"/>
        <v>3.2618229806826512E-10</v>
      </c>
      <c r="AB26" s="163">
        <f t="shared" si="44"/>
        <v>0</v>
      </c>
      <c r="AC26" s="33">
        <f t="shared" si="45"/>
        <v>1.70049028E-9</v>
      </c>
      <c r="AD26" s="37">
        <f>(Branco!$F$19-MoVOx_N2N2!F26)/Branco!$F$19*100</f>
        <v>4.063460573914826</v>
      </c>
      <c r="AE26" s="37">
        <f>((Branco!$P$7-T26)/(Branco!$P$7))*100</f>
        <v>6.1415001637733466</v>
      </c>
      <c r="AF26" s="39">
        <f t="shared" si="9"/>
        <v>63.44379698875192</v>
      </c>
      <c r="AG26" s="38">
        <v>0</v>
      </c>
      <c r="AH26" s="38">
        <f t="shared" si="10"/>
        <v>0</v>
      </c>
      <c r="AI26" s="23">
        <f t="shared" si="11"/>
        <v>0</v>
      </c>
      <c r="AJ26" s="38">
        <f t="shared" si="12"/>
        <v>8.0554562871134454</v>
      </c>
      <c r="AK26" s="23">
        <f t="shared" si="13"/>
        <v>12.460783944128609</v>
      </c>
      <c r="AL26" s="38">
        <f t="shared" si="14"/>
        <v>2.5815476940526185</v>
      </c>
      <c r="AM26" s="151">
        <f>(AC26/SUM(U26,W26,X26,Y26,AA26,AC26))*100</f>
        <v>15.374155369821519</v>
      </c>
      <c r="AN26" s="38">
        <f t="shared" si="43"/>
        <v>94.707125971748454</v>
      </c>
      <c r="AO26" s="38">
        <f t="shared" si="16"/>
        <v>0</v>
      </c>
      <c r="AP26" s="23">
        <f t="shared" si="17"/>
        <v>0</v>
      </c>
      <c r="AQ26" s="38">
        <f t="shared" si="30"/>
        <v>4.0083199595742141</v>
      </c>
      <c r="AR26" s="38">
        <f t="shared" si="31"/>
        <v>1.2845540686773231</v>
      </c>
      <c r="AS26" s="38">
        <f t="shared" si="32"/>
        <v>0</v>
      </c>
      <c r="AT26" s="38">
        <f t="shared" si="33"/>
        <v>89.768985512942749</v>
      </c>
      <c r="AU26" s="38">
        <f>((T26*3)+(U26*3)+(V26*2)+(W26*2)+(X26)+(Y26)+(AA26))/((Branco!$P$7)*3)*100</f>
        <v>94.785882890925464</v>
      </c>
      <c r="AV26" s="151">
        <f t="shared" si="34"/>
        <v>5.513162392295051</v>
      </c>
      <c r="AW26" s="39">
        <f t="shared" si="35"/>
        <v>3.378516679450206E-2</v>
      </c>
      <c r="AX26" s="23">
        <f t="shared" si="18"/>
        <v>0</v>
      </c>
      <c r="AY26" s="23">
        <f t="shared" si="19"/>
        <v>0</v>
      </c>
      <c r="AZ26" s="23">
        <f t="shared" si="20"/>
        <v>0</v>
      </c>
      <c r="BA26" s="23">
        <f t="shared" si="21"/>
        <v>1.6371318408452213</v>
      </c>
      <c r="BB26" s="151">
        <f t="shared" si="22"/>
        <v>3.1245305523289573</v>
      </c>
      <c r="BC26" s="39">
        <f t="shared" si="36"/>
        <v>1.4460051388046882</v>
      </c>
      <c r="BD26" s="23">
        <f t="shared" si="37"/>
        <v>0</v>
      </c>
      <c r="BE26">
        <f t="shared" si="38"/>
        <v>0</v>
      </c>
      <c r="BF26">
        <f t="shared" si="39"/>
        <v>0</v>
      </c>
      <c r="BG26">
        <f t="shared" si="40"/>
        <v>45.856062862074651</v>
      </c>
      <c r="BH26" s="14">
        <f t="shared" si="41"/>
        <v>6.2490611046579145</v>
      </c>
      <c r="BI26" s="109">
        <f t="shared" si="46"/>
        <v>2.5392648392303784E-8</v>
      </c>
      <c r="BJ26" s="1">
        <f t="shared" si="47"/>
        <v>0.97839786518210503</v>
      </c>
    </row>
    <row r="27" spans="1:62" ht="15.75" thickBot="1" x14ac:dyDescent="0.3">
      <c r="F27" s="185">
        <f t="shared" si="25"/>
        <v>8.6490547523037059E-2</v>
      </c>
      <c r="G27" s="17">
        <v>20</v>
      </c>
      <c r="H27" s="17">
        <v>285</v>
      </c>
      <c r="I27" s="40">
        <v>5641</v>
      </c>
      <c r="J27" s="41">
        <v>50</v>
      </c>
      <c r="K27" s="41"/>
      <c r="L27" s="41"/>
      <c r="M27" s="41"/>
      <c r="N27" s="41">
        <v>65221</v>
      </c>
      <c r="O27" s="41">
        <v>7</v>
      </c>
      <c r="P27" s="41">
        <v>19</v>
      </c>
      <c r="Q27" s="41">
        <v>2</v>
      </c>
      <c r="R27" s="41">
        <v>0</v>
      </c>
      <c r="S27" s="42">
        <v>16</v>
      </c>
      <c r="T27" s="32">
        <f t="shared" si="8"/>
        <v>8.4319279721648495E-7</v>
      </c>
      <c r="U27" s="163">
        <f t="shared" si="4"/>
        <v>7.8590351308700354E-9</v>
      </c>
      <c r="V27" s="163">
        <f t="shared" si="26"/>
        <v>0</v>
      </c>
      <c r="W27" s="163">
        <f t="shared" si="6"/>
        <v>0</v>
      </c>
      <c r="X27" s="163">
        <f t="shared" si="7"/>
        <v>0</v>
      </c>
      <c r="Y27" s="163">
        <f t="shared" si="27"/>
        <v>8.9059126955156171E-10</v>
      </c>
      <c r="Z27" s="163">
        <f t="shared" si="28"/>
        <v>1.6619069226453249E-9</v>
      </c>
      <c r="AA27" s="163">
        <f t="shared" si="29"/>
        <v>2.1745486537884341E-10</v>
      </c>
      <c r="AB27" s="163">
        <f t="shared" si="44"/>
        <v>0</v>
      </c>
      <c r="AC27" s="33">
        <f t="shared" si="45"/>
        <v>1.6004614400000001E-9</v>
      </c>
      <c r="AD27" s="37">
        <f>(Branco!$F$19-MoVOx_N2N2!F27)/Branco!$F$19*100</f>
        <v>6.2794986861704736</v>
      </c>
      <c r="AE27" s="37">
        <f>((Branco!$P$7-T27)/(Branco!$P$7))*100</f>
        <v>7.6154602030789427</v>
      </c>
      <c r="AF27" s="39">
        <f t="shared" si="9"/>
        <v>64.263195561882654</v>
      </c>
      <c r="AG27" s="38">
        <v>0</v>
      </c>
      <c r="AH27" s="38">
        <f t="shared" si="10"/>
        <v>0</v>
      </c>
      <c r="AI27" s="23">
        <f t="shared" si="11"/>
        <v>0</v>
      </c>
      <c r="AJ27" s="38">
        <f t="shared" si="12"/>
        <v>7.2823495464590788</v>
      </c>
      <c r="AK27" s="23">
        <f t="shared" si="13"/>
        <v>13.589384421517387</v>
      </c>
      <c r="AL27" s="38">
        <f t="shared" si="14"/>
        <v>1.7781247070435797</v>
      </c>
      <c r="AM27" s="151">
        <f>(AC27/SUM(U27,W27,X27,Y27,AA27,AC27))*100</f>
        <v>15.145067160424338</v>
      </c>
      <c r="AN27" s="38">
        <f t="shared" si="43"/>
        <v>95.511284856022897</v>
      </c>
      <c r="AO27" s="38">
        <f t="shared" si="16"/>
        <v>0</v>
      </c>
      <c r="AP27" s="23">
        <f t="shared" si="17"/>
        <v>0</v>
      </c>
      <c r="AQ27" s="38">
        <f t="shared" si="30"/>
        <v>3.6078015099804217</v>
      </c>
      <c r="AR27" s="38">
        <f t="shared" si="31"/>
        <v>0.88091363399667721</v>
      </c>
      <c r="AS27" s="38">
        <f t="shared" si="32"/>
        <v>0</v>
      </c>
      <c r="AT27" s="38">
        <f t="shared" si="33"/>
        <v>89.098737279984945</v>
      </c>
      <c r="AU27" s="38">
        <f>((T27*3)+(U27*3)+(V27*2)+(W27*2)+(X27)+(Y27)+(AA27))/((Branco!$P$7)*3)*100</f>
        <v>93.286083853123259</v>
      </c>
      <c r="AV27" s="151">
        <f t="shared" si="34"/>
        <v>6.7852788790031147</v>
      </c>
      <c r="AW27" s="39">
        <f t="shared" si="35"/>
        <v>4.1580813762117773E-2</v>
      </c>
      <c r="AX27" s="23">
        <f t="shared" si="18"/>
        <v>0</v>
      </c>
      <c r="AY27" s="23">
        <f t="shared" si="19"/>
        <v>0</v>
      </c>
      <c r="AZ27" s="23">
        <f t="shared" si="20"/>
        <v>0</v>
      </c>
      <c r="BA27" s="23">
        <f t="shared" si="21"/>
        <v>1.8352140100125658</v>
      </c>
      <c r="BB27" s="151">
        <f t="shared" si="22"/>
        <v>3.8166857081045444</v>
      </c>
      <c r="BC27" s="39">
        <f t="shared" si="36"/>
        <v>1.7796588290186406</v>
      </c>
      <c r="BD27" s="23">
        <f t="shared" si="37"/>
        <v>0</v>
      </c>
      <c r="BE27">
        <f t="shared" si="38"/>
        <v>0</v>
      </c>
      <c r="BF27">
        <f t="shared" si="39"/>
        <v>0</v>
      </c>
      <c r="BG27">
        <f t="shared" si="40"/>
        <v>51.40434442045197</v>
      </c>
      <c r="BH27" s="14">
        <f t="shared" si="41"/>
        <v>7.6333714162090889</v>
      </c>
      <c r="BI27" s="109">
        <f t="shared" si="46"/>
        <v>2.4685151527540511E-8</v>
      </c>
      <c r="BJ27" s="1">
        <f t="shared" si="47"/>
        <v>0.96642930967245044</v>
      </c>
    </row>
    <row r="28" spans="1:62" s="99" customFormat="1" x14ac:dyDescent="0.25">
      <c r="A28"/>
      <c r="B28" s="230" t="s">
        <v>25</v>
      </c>
      <c r="C28" s="231"/>
      <c r="D28" s="21">
        <f>(1*(0.25/1000))/(0.082057*373)</f>
        <v>8.1679964763916645E-6</v>
      </c>
      <c r="E28"/>
      <c r="F28" s="184">
        <f t="shared" si="25"/>
        <v>0.10623062560049308</v>
      </c>
      <c r="G28" s="84">
        <v>21</v>
      </c>
      <c r="H28" s="84">
        <v>300</v>
      </c>
      <c r="I28" s="85">
        <v>5860</v>
      </c>
      <c r="J28" s="86">
        <v>51</v>
      </c>
      <c r="K28" s="86"/>
      <c r="L28" s="86"/>
      <c r="M28" s="86"/>
      <c r="N28" s="86">
        <v>55163</v>
      </c>
      <c r="O28" s="86">
        <v>8</v>
      </c>
      <c r="P28" s="86">
        <v>18</v>
      </c>
      <c r="Q28" s="86">
        <v>2</v>
      </c>
      <c r="R28" s="86">
        <v>0</v>
      </c>
      <c r="S28" s="87">
        <v>14</v>
      </c>
      <c r="T28" s="88">
        <f t="shared" si="8"/>
        <v>8.7592799001747953E-7</v>
      </c>
      <c r="U28" s="164">
        <f t="shared" si="4"/>
        <v>8.0162158334874357E-9</v>
      </c>
      <c r="V28" s="164">
        <f t="shared" si="26"/>
        <v>0</v>
      </c>
      <c r="W28" s="164">
        <f t="shared" si="6"/>
        <v>0</v>
      </c>
      <c r="X28" s="164">
        <f t="shared" si="7"/>
        <v>0</v>
      </c>
      <c r="Y28" s="164">
        <f t="shared" si="27"/>
        <v>1.0178185937732133E-9</v>
      </c>
      <c r="Z28" s="164">
        <f t="shared" si="28"/>
        <v>1.5744381372429394E-9</v>
      </c>
      <c r="AA28" s="164">
        <f t="shared" si="29"/>
        <v>2.1745486537884341E-10</v>
      </c>
      <c r="AB28" s="164">
        <f t="shared" si="44"/>
        <v>0</v>
      </c>
      <c r="AC28" s="89">
        <f t="shared" si="45"/>
        <v>1.40040376E-9</v>
      </c>
      <c r="AD28" s="37">
        <f>(Branco!$F$19-MoVOx_N2N2!F28)/Branco!$F$19*100</f>
        <v>-15.110700201176694</v>
      </c>
      <c r="AE28" s="90">
        <f>((Branco!$P$7-T28)/(Branco!$P$7))*100</f>
        <v>4.0288241074353106</v>
      </c>
      <c r="AF28" s="92">
        <f t="shared" si="9"/>
        <v>65.56517821242268</v>
      </c>
      <c r="AG28" s="91">
        <v>0</v>
      </c>
      <c r="AH28" s="91">
        <f t="shared" si="10"/>
        <v>0</v>
      </c>
      <c r="AI28" s="93">
        <f t="shared" si="11"/>
        <v>0</v>
      </c>
      <c r="AJ28" s="91">
        <f t="shared" si="12"/>
        <v>8.3248079735929394</v>
      </c>
      <c r="AK28" s="93">
        <f t="shared" si="13"/>
        <v>12.877437334151578</v>
      </c>
      <c r="AL28" s="91">
        <f t="shared" si="14"/>
        <v>1.7785782341541039</v>
      </c>
      <c r="AM28" s="101">
        <f>(AC28/SUM(U28,W28,X28,Y28,AA28,AC28))*100</f>
        <v>13.146994182907104</v>
      </c>
      <c r="AN28" s="38">
        <f t="shared" si="43"/>
        <v>95.114391232573681</v>
      </c>
      <c r="AO28" s="91">
        <f t="shared" si="16"/>
        <v>0</v>
      </c>
      <c r="AP28" s="93">
        <f t="shared" si="17"/>
        <v>0</v>
      </c>
      <c r="AQ28" s="91">
        <f t="shared" si="30"/>
        <v>4.0255567773643977</v>
      </c>
      <c r="AR28" s="91">
        <f t="shared" si="31"/>
        <v>0.86005199006190891</v>
      </c>
      <c r="AS28" s="91">
        <f t="shared" si="32"/>
        <v>0</v>
      </c>
      <c r="AT28" s="38">
        <f t="shared" si="33"/>
        <v>92.160697546809672</v>
      </c>
      <c r="AU28" s="91">
        <f>((T28*3)+(U28*3)+(V28*2)+(W28*2)+(X28)+(Y28)+(AA28))/((Branco!$P$7)*3)*100</f>
        <v>96.894588035009733</v>
      </c>
      <c r="AV28" s="151">
        <f t="shared" si="34"/>
        <v>3.712992400346411</v>
      </c>
      <c r="AW28" s="39">
        <f t="shared" si="35"/>
        <v>2.2753559323363502E-2</v>
      </c>
      <c r="AX28" s="93">
        <f t="shared" si="18"/>
        <v>0</v>
      </c>
      <c r="AY28" s="93">
        <f t="shared" si="19"/>
        <v>0</v>
      </c>
      <c r="AZ28" s="93">
        <f t="shared" si="20"/>
        <v>0</v>
      </c>
      <c r="BA28" s="93">
        <f t="shared" si="21"/>
        <v>1.109868623474078</v>
      </c>
      <c r="BB28" s="101">
        <f t="shared" si="22"/>
        <v>1.7527655151794739</v>
      </c>
      <c r="BC28" s="92">
        <f t="shared" si="36"/>
        <v>0.97385233903995783</v>
      </c>
      <c r="BD28" s="93">
        <f t="shared" si="37"/>
        <v>0</v>
      </c>
      <c r="BE28" s="99">
        <f t="shared" si="38"/>
        <v>0</v>
      </c>
      <c r="BF28" s="99">
        <f t="shared" si="39"/>
        <v>0</v>
      </c>
      <c r="BG28" s="99">
        <f t="shared" si="40"/>
        <v>31.087420143508925</v>
      </c>
      <c r="BH28" s="100">
        <f t="shared" si="41"/>
        <v>3.5055310303589478</v>
      </c>
      <c r="BI28" s="177">
        <f t="shared" si="46"/>
        <v>2.5283920959614364E-8</v>
      </c>
      <c r="BJ28" s="178">
        <f t="shared" si="47"/>
        <v>0.95300693379427348</v>
      </c>
    </row>
    <row r="29" spans="1:62" x14ac:dyDescent="0.25">
      <c r="B29" s="220" t="s">
        <v>28</v>
      </c>
      <c r="C29" s="221"/>
      <c r="D29" s="22">
        <v>0.1</v>
      </c>
      <c r="G29" s="17"/>
      <c r="H29" s="17"/>
      <c r="I29" s="40"/>
      <c r="J29" s="41"/>
      <c r="K29" s="41"/>
      <c r="L29" s="41"/>
      <c r="M29" s="41"/>
      <c r="N29" s="41"/>
      <c r="O29" s="41"/>
      <c r="P29" s="41"/>
      <c r="Q29" s="41"/>
      <c r="R29" s="41"/>
      <c r="S29" s="42"/>
      <c r="T29" s="32"/>
      <c r="U29" s="163"/>
      <c r="V29" s="163"/>
      <c r="W29" s="163"/>
      <c r="X29" s="163"/>
      <c r="Y29" s="163"/>
      <c r="Z29" s="163"/>
      <c r="AA29" s="163"/>
      <c r="AB29" s="163"/>
      <c r="AC29" s="33"/>
      <c r="AD29" s="33"/>
      <c r="AE29" s="37"/>
      <c r="AF29" s="39"/>
      <c r="AG29" s="38"/>
      <c r="AH29" s="38"/>
      <c r="AI29" s="23"/>
      <c r="AJ29" s="38"/>
      <c r="AK29" s="23"/>
      <c r="AL29" s="38"/>
      <c r="AM29" s="151"/>
      <c r="AN29" s="38"/>
      <c r="AO29" s="38"/>
      <c r="AP29" s="23"/>
      <c r="AQ29" s="38"/>
      <c r="AR29" s="38"/>
      <c r="AS29" s="23"/>
      <c r="AT29" s="23"/>
      <c r="AU29" s="38"/>
      <c r="AV29" s="151"/>
      <c r="AW29" s="39"/>
      <c r="AX29" s="23"/>
      <c r="AY29" s="23"/>
      <c r="AZ29" s="23"/>
      <c r="BA29" s="23"/>
      <c r="BB29" s="151"/>
      <c r="BC29" s="39"/>
      <c r="BD29" s="23"/>
      <c r="BH29" s="14"/>
      <c r="BI29" s="109"/>
      <c r="BJ29" s="1"/>
    </row>
    <row r="30" spans="1:62" x14ac:dyDescent="0.25">
      <c r="B30" s="220" t="s">
        <v>90</v>
      </c>
      <c r="C30" s="221"/>
      <c r="D30" s="22">
        <v>0.9</v>
      </c>
      <c r="G30" s="17"/>
      <c r="H30" s="17"/>
      <c r="I30" s="40"/>
      <c r="J30" s="41"/>
      <c r="K30" s="41"/>
      <c r="L30" s="41"/>
      <c r="M30" s="41"/>
      <c r="N30" s="41"/>
      <c r="O30" s="41"/>
      <c r="P30" s="41"/>
      <c r="Q30" s="41"/>
      <c r="R30" s="41"/>
      <c r="S30" s="42"/>
      <c r="T30" s="32"/>
      <c r="U30" s="163"/>
      <c r="V30" s="163"/>
      <c r="W30" s="163"/>
      <c r="X30" s="163"/>
      <c r="Y30" s="163"/>
      <c r="Z30" s="163"/>
      <c r="AA30" s="163"/>
      <c r="AB30" s="163"/>
      <c r="AC30" s="33"/>
      <c r="AD30" s="33"/>
      <c r="AE30" s="37"/>
      <c r="AF30" s="39"/>
      <c r="AG30" s="38"/>
      <c r="AH30" s="38"/>
      <c r="AI30" s="23"/>
      <c r="AJ30" s="38"/>
      <c r="AK30" s="23"/>
      <c r="AL30" s="38"/>
      <c r="AM30" s="151"/>
      <c r="AN30" s="38"/>
      <c r="AO30" s="38"/>
      <c r="AP30" s="23"/>
      <c r="AQ30" s="38"/>
      <c r="AR30" s="38"/>
      <c r="AS30" s="23"/>
      <c r="AT30" s="23"/>
      <c r="AU30" s="38"/>
      <c r="AV30" s="14"/>
      <c r="AW30" s="5"/>
      <c r="AX30" s="23"/>
      <c r="AY30" s="23"/>
      <c r="AZ30" s="23"/>
      <c r="BA30" s="23"/>
      <c r="BB30" s="151"/>
      <c r="BC30" s="39"/>
      <c r="BD30" s="23"/>
      <c r="BH30" s="14"/>
      <c r="BI30" s="109"/>
      <c r="BJ30" s="1"/>
    </row>
    <row r="31" spans="1:62" x14ac:dyDescent="0.25">
      <c r="B31" s="220" t="s">
        <v>26</v>
      </c>
      <c r="C31" s="221"/>
      <c r="D31" s="26">
        <f>D28*D29</f>
        <v>8.1679964763916645E-7</v>
      </c>
      <c r="G31" s="17"/>
      <c r="H31" s="17"/>
      <c r="I31" s="40"/>
      <c r="J31" s="41"/>
      <c r="K31" s="41"/>
      <c r="L31" s="41"/>
      <c r="M31" s="41"/>
      <c r="N31" s="41"/>
      <c r="O31" s="41"/>
      <c r="P31" s="41"/>
      <c r="Q31" s="41"/>
      <c r="R31" s="41"/>
      <c r="S31" s="42"/>
      <c r="T31" s="32"/>
      <c r="U31" s="163"/>
      <c r="V31" s="163"/>
      <c r="W31" s="163"/>
      <c r="X31" s="163"/>
      <c r="Y31" s="163"/>
      <c r="Z31" s="163"/>
      <c r="AA31" s="163"/>
      <c r="AB31" s="163"/>
      <c r="AC31" s="33"/>
      <c r="AD31" s="33"/>
      <c r="AE31" s="37"/>
      <c r="AF31" s="39"/>
      <c r="AG31" s="38"/>
      <c r="AH31" s="38"/>
      <c r="AI31" s="23"/>
      <c r="AJ31" s="38"/>
      <c r="AK31" s="23"/>
      <c r="AL31" s="38"/>
      <c r="AM31" s="151"/>
      <c r="AN31" s="38"/>
      <c r="AO31" s="38"/>
      <c r="AP31" s="23"/>
      <c r="AQ31" s="38"/>
      <c r="AR31" s="38"/>
      <c r="AS31" s="23"/>
      <c r="AT31" s="23"/>
      <c r="AU31" s="38"/>
      <c r="AV31" s="14"/>
      <c r="AW31" s="5"/>
      <c r="AX31" s="23"/>
      <c r="AY31" s="23"/>
      <c r="AZ31" s="23"/>
      <c r="BA31" s="23"/>
      <c r="BB31" s="151"/>
      <c r="BC31" s="39"/>
      <c r="BD31" s="23"/>
      <c r="BH31" s="14"/>
      <c r="BI31" s="109"/>
      <c r="BJ31" s="1"/>
    </row>
    <row r="32" spans="1:62" ht="15.75" thickBot="1" x14ac:dyDescent="0.3">
      <c r="B32" s="222" t="s">
        <v>91</v>
      </c>
      <c r="C32" s="223"/>
      <c r="D32" s="27">
        <f>D28*D30</f>
        <v>7.3511968287524981E-6</v>
      </c>
      <c r="G32" s="18"/>
      <c r="H32" s="18"/>
      <c r="I32" s="43"/>
      <c r="J32" s="44"/>
      <c r="K32" s="44"/>
      <c r="L32" s="44"/>
      <c r="M32" s="44"/>
      <c r="N32" s="44"/>
      <c r="O32" s="44"/>
      <c r="P32" s="44"/>
      <c r="Q32" s="44"/>
      <c r="R32" s="44"/>
      <c r="S32" s="45"/>
      <c r="T32" s="34"/>
      <c r="U32" s="35"/>
      <c r="V32" s="35"/>
      <c r="W32" s="35"/>
      <c r="X32" s="35"/>
      <c r="Y32" s="35"/>
      <c r="Z32" s="35"/>
      <c r="AA32" s="35"/>
      <c r="AB32" s="35"/>
      <c r="AC32" s="36"/>
      <c r="AD32" s="33"/>
      <c r="AE32" s="37"/>
      <c r="AF32" s="102"/>
      <c r="AG32" s="97"/>
      <c r="AH32" s="97"/>
      <c r="AI32" s="152"/>
      <c r="AJ32" s="97"/>
      <c r="AK32" s="152"/>
      <c r="AL32" s="97"/>
      <c r="AM32" s="153"/>
      <c r="AN32" s="97"/>
      <c r="AO32" s="97"/>
      <c r="AP32" s="152"/>
      <c r="AQ32" s="97"/>
      <c r="AR32" s="97"/>
      <c r="AS32" s="152"/>
      <c r="AT32" s="152"/>
      <c r="AU32" s="97"/>
      <c r="AV32" s="15"/>
      <c r="AW32" s="6"/>
      <c r="AX32" s="152"/>
      <c r="AY32" s="152"/>
      <c r="AZ32" s="152"/>
      <c r="BA32" s="152"/>
      <c r="BB32" s="153"/>
      <c r="BC32" s="102"/>
      <c r="BD32" s="152"/>
      <c r="BE32" s="98"/>
      <c r="BF32" s="98"/>
      <c r="BG32" s="98"/>
      <c r="BH32" s="15"/>
      <c r="BI32" s="109"/>
      <c r="BJ32" s="1"/>
    </row>
    <row r="33" spans="2:49" x14ac:dyDescent="0.25">
      <c r="AE33" s="95" t="s">
        <v>50</v>
      </c>
      <c r="AW33" s="1">
        <f>AVERAGE(AW9:AW28)</f>
        <v>4.0277583907957777E-2</v>
      </c>
    </row>
    <row r="34" spans="2:49" ht="15.75" thickBot="1" x14ac:dyDescent="0.3">
      <c r="B34" s="28">
        <f>D28*0.24</f>
        <v>1.9603191543339994E-6</v>
      </c>
      <c r="C34" s="1">
        <v>1028</v>
      </c>
      <c r="AE34" s="96">
        <f>AVERAGE(AE12:AE28)</f>
        <v>6.4006473863702098</v>
      </c>
      <c r="AG34" s="23"/>
    </row>
    <row r="35" spans="2:49" ht="15.75" thickBot="1" x14ac:dyDescent="0.3">
      <c r="B35" s="28">
        <f>B34/C37</f>
        <v>1.9137512082661891E-9</v>
      </c>
      <c r="C35">
        <v>1009</v>
      </c>
    </row>
    <row r="36" spans="2:49" ht="15.75" customHeight="1" thickBot="1" x14ac:dyDescent="0.3">
      <c r="C36">
        <v>1036</v>
      </c>
      <c r="F36" s="217" t="s">
        <v>73</v>
      </c>
      <c r="G36" s="226"/>
      <c r="H36" s="226"/>
      <c r="I36" s="226"/>
      <c r="J36" s="226"/>
      <c r="K36" s="226"/>
      <c r="L36" s="226"/>
      <c r="M36" s="218"/>
      <c r="N36" s="179"/>
      <c r="O36" s="235" t="s">
        <v>34</v>
      </c>
      <c r="P36" s="224" t="s">
        <v>74</v>
      </c>
      <c r="Q36" s="224" t="s">
        <v>75</v>
      </c>
      <c r="R36" s="224" t="s">
        <v>80</v>
      </c>
      <c r="S36" s="224" t="s">
        <v>81</v>
      </c>
      <c r="T36" s="224" t="s">
        <v>82</v>
      </c>
      <c r="U36" s="227" t="s">
        <v>36</v>
      </c>
      <c r="V36" s="237" t="s">
        <v>49</v>
      </c>
      <c r="W36" s="237" t="s">
        <v>59</v>
      </c>
      <c r="AA36" s="175"/>
    </row>
    <row r="37" spans="2:49" ht="15.75" thickBot="1" x14ac:dyDescent="0.3">
      <c r="C37" s="1">
        <f>AVERAGE(C34:C36)</f>
        <v>1024.3333333333333</v>
      </c>
      <c r="F37" s="123" t="s">
        <v>68</v>
      </c>
      <c r="G37" s="167" t="s">
        <v>37</v>
      </c>
      <c r="H37" s="167" t="s">
        <v>38</v>
      </c>
      <c r="I37" s="167" t="s">
        <v>39</v>
      </c>
      <c r="J37" s="167" t="s">
        <v>10</v>
      </c>
      <c r="K37" s="167" t="s">
        <v>8</v>
      </c>
      <c r="L37" s="167" t="s">
        <v>11</v>
      </c>
      <c r="M37" s="168" t="s">
        <v>35</v>
      </c>
      <c r="N37" s="168"/>
      <c r="O37" s="236"/>
      <c r="P37" s="225"/>
      <c r="Q37" s="229"/>
      <c r="R37" s="229"/>
      <c r="S37" s="229"/>
      <c r="T37" s="229"/>
      <c r="U37" s="228"/>
      <c r="V37" s="238"/>
      <c r="W37" s="238"/>
    </row>
    <row r="38" spans="2:49" x14ac:dyDescent="0.25">
      <c r="F38" s="23">
        <f>AVERAGE(AK9:AK12)</f>
        <v>7.7336057258940514</v>
      </c>
      <c r="G38" s="148">
        <f t="shared" ref="G38:I38" si="48">AVERAGE(AF9:AF12)</f>
        <v>33.28975342863987</v>
      </c>
      <c r="H38" s="148">
        <f t="shared" si="48"/>
        <v>0</v>
      </c>
      <c r="I38" s="148">
        <f t="shared" si="48"/>
        <v>0</v>
      </c>
      <c r="J38" s="148">
        <f>AVERAGE(AI9:AI12)</f>
        <v>0</v>
      </c>
      <c r="K38" s="148">
        <f>AVERAGE(AJ9:AJ12)</f>
        <v>13.114350296195543</v>
      </c>
      <c r="L38" s="148">
        <f>AVERAGE(AM9:AM12)</f>
        <v>42.875945006407655</v>
      </c>
      <c r="M38" s="37">
        <f>AVERAGE(AL9:AL12)</f>
        <v>2.9863455428628822</v>
      </c>
      <c r="N38" s="37"/>
      <c r="O38" s="132">
        <f>AVERAGE(AE9:AE12)</f>
        <v>14.40386505076974</v>
      </c>
      <c r="P38" s="169">
        <f>AVERAGE(AN10:AN12)</f>
        <v>88.687421309359635</v>
      </c>
      <c r="Q38" s="129">
        <f>AVERAGE(AP10:AP12)</f>
        <v>0</v>
      </c>
      <c r="R38" s="129">
        <f>AVERAGE(AQ10:AQ12)</f>
        <v>9.2374810898228983</v>
      </c>
      <c r="S38" s="129">
        <f t="shared" ref="S38:T42" si="49">AVERAGE(AR10:AR12)</f>
        <v>2.0750976008174731</v>
      </c>
      <c r="T38" s="129">
        <f t="shared" si="49"/>
        <v>0</v>
      </c>
      <c r="U38" s="132">
        <f>AVERAGE(AU9:AU12)</f>
        <v>90.347399449303964</v>
      </c>
      <c r="V38" s="129">
        <f>AVERAGE(AV9:AV12)</f>
        <v>10.485911071845004</v>
      </c>
      <c r="W38" s="132">
        <f>AVERAGE(BC9:BC12)</f>
        <v>2.750269303898528</v>
      </c>
    </row>
    <row r="39" spans="2:49" x14ac:dyDescent="0.25">
      <c r="F39" s="23">
        <f>AVERAGE(AK13:AK16)</f>
        <v>8.6515658084901812</v>
      </c>
      <c r="G39" s="148">
        <f t="shared" ref="G39:I39" si="50">AVERAGE(AF13:AF16)</f>
        <v>47.299959272984346</v>
      </c>
      <c r="H39" s="148">
        <f t="shared" si="50"/>
        <v>0</v>
      </c>
      <c r="I39" s="148">
        <f t="shared" si="50"/>
        <v>0</v>
      </c>
      <c r="J39" s="148">
        <f>AVERAGE(AI13:AI16)</f>
        <v>0</v>
      </c>
      <c r="K39" s="148">
        <f>AVERAGE(AJ13:AJ16)</f>
        <v>11.173817417007079</v>
      </c>
      <c r="L39" s="148">
        <f>AVERAGE(AM13:AM16)</f>
        <v>31.05380103462927</v>
      </c>
      <c r="M39" s="37">
        <f>AVERAGE(AL13:AL16)</f>
        <v>1.8208564668891269</v>
      </c>
      <c r="N39" s="37"/>
      <c r="O39" s="133">
        <f>AVERAGE(AE13:AE16)</f>
        <v>6.7515558467081602</v>
      </c>
      <c r="P39" s="170">
        <f>AVERAGE(AN13:AN15)</f>
        <v>91.125547476852589</v>
      </c>
      <c r="Q39" s="130">
        <f>AVERAGE(AP13:AP14)</f>
        <v>0</v>
      </c>
      <c r="R39" s="130">
        <f t="shared" ref="R39:R42" si="51">AVERAGE(AQ11:AQ13)</f>
        <v>8.5005712865914855</v>
      </c>
      <c r="S39" s="130">
        <f t="shared" si="49"/>
        <v>1.5975540758149045</v>
      </c>
      <c r="T39" s="130">
        <f t="shared" si="49"/>
        <v>0</v>
      </c>
      <c r="U39" s="133">
        <f>AVERAGE(AU13:AU16)</f>
        <v>94.496030747347859</v>
      </c>
      <c r="V39" s="130">
        <f>AVERAGE(AV13:AV16)</f>
        <v>5.8267912542717486</v>
      </c>
      <c r="W39" s="133">
        <f>AVERAGE(BC13:BC16)</f>
        <v>1.5282644509427772</v>
      </c>
    </row>
    <row r="40" spans="2:49" x14ac:dyDescent="0.25">
      <c r="F40" s="23">
        <f>AVERAGE(AK17:AK20)</f>
        <v>10.256729492843466</v>
      </c>
      <c r="G40" s="148">
        <f t="shared" ref="G40:I40" si="52">AVERAGE(AF18:AF21)</f>
        <v>58.454534298345493</v>
      </c>
      <c r="H40" s="148">
        <f t="shared" si="52"/>
        <v>0</v>
      </c>
      <c r="I40" s="148">
        <f t="shared" si="52"/>
        <v>0</v>
      </c>
      <c r="J40" s="148">
        <f>AVERAGE(AI18:AI21)</f>
        <v>0</v>
      </c>
      <c r="K40" s="148">
        <f>AVERAGE(AJ18:AJ21)</f>
        <v>9.7644923014035285</v>
      </c>
      <c r="L40" s="148">
        <f>AVERAGE(AM18:AM21)</f>
        <v>19.102977913473516</v>
      </c>
      <c r="M40" s="37">
        <f>AVERAGE(AL18:AL21)</f>
        <v>2.0446469207301021</v>
      </c>
      <c r="N40" s="37"/>
      <c r="O40" s="133">
        <f>AVERAGE(AE18:AE21)</f>
        <v>6.2929905011464164</v>
      </c>
      <c r="P40" s="170">
        <f>AVERAGE(AN17:AN20)</f>
        <v>93.335006010315411</v>
      </c>
      <c r="Q40" s="130">
        <f>AVERAGE(AP17:AP20)</f>
        <v>0</v>
      </c>
      <c r="R40" s="130">
        <f t="shared" si="51"/>
        <v>8.0686856615308553</v>
      </c>
      <c r="S40" s="130">
        <f t="shared" si="49"/>
        <v>1.3701373775249497</v>
      </c>
      <c r="T40" s="130">
        <f t="shared" si="49"/>
        <v>0</v>
      </c>
      <c r="U40" s="133">
        <f>AVERAGE(AU18:AU21)</f>
        <v>94.704471105778183</v>
      </c>
      <c r="V40" s="130">
        <f>AVERAGE(AV18:AV21)</f>
        <v>5.5795140137595638</v>
      </c>
      <c r="W40" s="133">
        <f>AVERAGE(BC18:BC21)</f>
        <v>1.4634079974144396</v>
      </c>
    </row>
    <row r="41" spans="2:49" x14ac:dyDescent="0.25">
      <c r="F41" s="23">
        <f>AVERAGE(AK21:AK24)</f>
        <v>11.295388542349233</v>
      </c>
      <c r="G41" s="148">
        <f t="shared" ref="G41:I41" si="53">AVERAGE(AF22:AF25)</f>
        <v>62.416064614027391</v>
      </c>
      <c r="H41" s="148">
        <f t="shared" si="53"/>
        <v>0</v>
      </c>
      <c r="I41" s="148">
        <f t="shared" si="53"/>
        <v>0</v>
      </c>
      <c r="J41" s="148">
        <f>AVERAGE(AI22:AI25)</f>
        <v>0</v>
      </c>
      <c r="K41" s="148">
        <f>AVERAGE(AJ22:AJ25)</f>
        <v>8.9820757057094802</v>
      </c>
      <c r="L41" s="148">
        <f>AVERAGE(AM22:AM25)</f>
        <v>15.258135613385463</v>
      </c>
      <c r="M41" s="37">
        <f>AVERAGE(AL22:AL25)</f>
        <v>1.6618174305197724</v>
      </c>
      <c r="N41" s="37"/>
      <c r="O41" s="133">
        <f>AVERAGE(AE22:AE25)</f>
        <v>5.9081231575499551</v>
      </c>
      <c r="P41" s="170">
        <f>AVERAGE(AN22,AN24)</f>
        <v>94.687019049918916</v>
      </c>
      <c r="Q41" s="130">
        <f>AVERAGE(AP22,AP24)</f>
        <v>0</v>
      </c>
      <c r="R41" s="130">
        <f t="shared" si="51"/>
        <v>7.668826161188016</v>
      </c>
      <c r="S41" s="130">
        <f t="shared" si="49"/>
        <v>1.2056263619593997</v>
      </c>
      <c r="T41" s="130">
        <f t="shared" si="49"/>
        <v>0</v>
      </c>
      <c r="U41" s="133">
        <f>AVERAGE(AU22:AU25)</f>
        <v>95.038318711140519</v>
      </c>
      <c r="V41" s="130">
        <f>AVERAGE(AV22:AV25)</f>
        <v>5.2947608893884652</v>
      </c>
      <c r="W41" s="133">
        <f>AVERAGE(BC22:BC25)</f>
        <v>1.3887222813349076</v>
      </c>
    </row>
    <row r="42" spans="2:49" ht="15.75" thickBot="1" x14ac:dyDescent="0.3">
      <c r="F42" s="152">
        <f>AVERAGE(AK25:AK28)</f>
        <v>12.666816305585062</v>
      </c>
      <c r="G42" s="154">
        <f>AVERAGE(AF26:AF28)</f>
        <v>64.424056921019087</v>
      </c>
      <c r="H42" s="154">
        <f>AVERAGE(AG26:AG28)</f>
        <v>0</v>
      </c>
      <c r="I42" s="154">
        <f>AVERAGE(AH26:AH28)</f>
        <v>0</v>
      </c>
      <c r="J42" s="154">
        <f>AVERAGE(AI26:AI28)</f>
        <v>0</v>
      </c>
      <c r="K42" s="154">
        <f>AVERAGE(AJ26:AJ28)</f>
        <v>7.8875379357218209</v>
      </c>
      <c r="L42" s="154">
        <f>AVERAGE(AM26:AM28)</f>
        <v>14.555405571050988</v>
      </c>
      <c r="M42" s="155">
        <f>AVERAGE(AL26:AL28)</f>
        <v>2.0460835450834338</v>
      </c>
      <c r="N42" s="155"/>
      <c r="O42" s="134">
        <f>AVERAGE(AE26:AE28)</f>
        <v>5.9285948247625342</v>
      </c>
      <c r="P42" s="171">
        <f>AVERAGE(AN25,AN27)</f>
        <v>95.074730947438184</v>
      </c>
      <c r="Q42" s="131">
        <f>AVERAGE(AP26,AP28)</f>
        <v>0</v>
      </c>
      <c r="R42" s="131">
        <f t="shared" si="51"/>
        <v>6.9386406241464131</v>
      </c>
      <c r="S42" s="131">
        <f t="shared" si="49"/>
        <v>1.1401946218937453</v>
      </c>
      <c r="T42" s="131">
        <f t="shared" si="49"/>
        <v>0</v>
      </c>
      <c r="U42" s="134">
        <f>AVERAGE(AU26:AU28)</f>
        <v>94.98885159301949</v>
      </c>
      <c r="V42" s="131">
        <f>AVERAGE(AV23:AV26)</f>
        <v>5.1880827845738953</v>
      </c>
      <c r="W42" s="134">
        <f>AVERAGE(BC23:BC26)</f>
        <v>1.3607424982660479</v>
      </c>
    </row>
    <row r="43" spans="2:49" x14ac:dyDescent="0.25">
      <c r="O43" s="128"/>
    </row>
  </sheetData>
  <mergeCells count="37">
    <mergeCell ref="AO3:AO4"/>
    <mergeCell ref="BI3:BI4"/>
    <mergeCell ref="O36:O37"/>
    <mergeCell ref="U36:U37"/>
    <mergeCell ref="S36:S37"/>
    <mergeCell ref="AN3:AN4"/>
    <mergeCell ref="P36:P37"/>
    <mergeCell ref="AP3:AP4"/>
    <mergeCell ref="T36:T37"/>
    <mergeCell ref="Q36:Q37"/>
    <mergeCell ref="R36:R37"/>
    <mergeCell ref="V36:V37"/>
    <mergeCell ref="W36:W37"/>
    <mergeCell ref="AQ3:AQ4"/>
    <mergeCell ref="AR3:AR4"/>
    <mergeCell ref="AS3:AS4"/>
    <mergeCell ref="I3:S3"/>
    <mergeCell ref="T3:AC3"/>
    <mergeCell ref="AE3:AE4"/>
    <mergeCell ref="F36:M36"/>
    <mergeCell ref="AD3:AD4"/>
    <mergeCell ref="G2:H2"/>
    <mergeCell ref="BJ3:BJ4"/>
    <mergeCell ref="B30:C30"/>
    <mergeCell ref="B31:C31"/>
    <mergeCell ref="B32:C32"/>
    <mergeCell ref="AV3:AV4"/>
    <mergeCell ref="AW3:BB3"/>
    <mergeCell ref="BC3:BH3"/>
    <mergeCell ref="AF3:AM3"/>
    <mergeCell ref="AU3:AU4"/>
    <mergeCell ref="B21:B23"/>
    <mergeCell ref="B24:B26"/>
    <mergeCell ref="B28:C28"/>
    <mergeCell ref="B29:C29"/>
    <mergeCell ref="G3:G4"/>
    <mergeCell ref="H3:H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A00B0-0E64-4626-BCD8-24EA32244365}">
  <dimension ref="B1:BK43"/>
  <sheetViews>
    <sheetView topLeftCell="B1" zoomScale="80" zoomScaleNormal="80" workbookViewId="0">
      <selection activeCell="AO8" sqref="AO8"/>
    </sheetView>
  </sheetViews>
  <sheetFormatPr defaultRowHeight="15" x14ac:dyDescent="0.25"/>
  <cols>
    <col min="2" max="2" width="18.5703125" bestFit="1" customWidth="1"/>
    <col min="3" max="3" width="22.42578125" bestFit="1" customWidth="1"/>
    <col min="4" max="4" width="13.5703125" customWidth="1"/>
    <col min="5" max="5" width="14.7109375" bestFit="1" customWidth="1"/>
    <col min="6" max="6" width="14.7109375" customWidth="1"/>
    <col min="7" max="7" width="19.5703125" bestFit="1" customWidth="1"/>
    <col min="8" max="8" width="10.42578125" style="3" customWidth="1"/>
    <col min="9" max="9" width="13.28515625" style="3" customWidth="1"/>
    <col min="10" max="10" width="13.28515625" style="2" bestFit="1" customWidth="1"/>
    <col min="11" max="11" width="13.42578125" style="2" bestFit="1" customWidth="1"/>
    <col min="12" max="12" width="10.7109375" style="2" bestFit="1" customWidth="1"/>
    <col min="13" max="13" width="10.85546875" style="2" bestFit="1" customWidth="1"/>
    <col min="14" max="15" width="12.5703125" style="2" customWidth="1"/>
    <col min="16" max="16" width="21.7109375" style="2" bestFit="1" customWidth="1"/>
    <col min="17" max="17" width="11" style="2" customWidth="1"/>
    <col min="18" max="18" width="10.28515625" style="2" bestFit="1" customWidth="1"/>
    <col min="19" max="19" width="12.28515625" style="2" customWidth="1"/>
    <col min="20" max="20" width="15.7109375" style="2" customWidth="1"/>
    <col min="21" max="21" width="14.85546875" customWidth="1"/>
    <col min="22" max="22" width="11.5703125" bestFit="1" customWidth="1"/>
    <col min="23" max="23" width="15.7109375" bestFit="1" customWidth="1"/>
    <col min="24" max="24" width="29.5703125" bestFit="1" customWidth="1"/>
    <col min="25" max="25" width="11.5703125" bestFit="1" customWidth="1"/>
    <col min="26" max="27" width="11.85546875" customWidth="1"/>
    <col min="28" max="30" width="11.5703125" bestFit="1" customWidth="1"/>
    <col min="31" max="31" width="15.5703125" customWidth="1"/>
    <col min="32" max="32" width="13.7109375" customWidth="1"/>
    <col min="33" max="33" width="9.5703125" style="3" bestFit="1" customWidth="1"/>
    <col min="34" max="34" width="9.28515625" style="3" bestFit="1" customWidth="1"/>
    <col min="35" max="37" width="9.5703125" style="3" bestFit="1" customWidth="1"/>
    <col min="38" max="39" width="9.5703125" style="3" customWidth="1"/>
    <col min="40" max="40" width="9.140625" style="3"/>
    <col min="41" max="41" width="9.85546875" style="3" bestFit="1" customWidth="1"/>
    <col min="42" max="42" width="9.85546875" style="3" customWidth="1"/>
    <col min="43" max="43" width="9.140625" style="3"/>
    <col min="44" max="44" width="10.7109375" style="3" bestFit="1" customWidth="1"/>
    <col min="45" max="47" width="10.7109375" style="3" customWidth="1"/>
    <col min="48" max="48" width="9.5703125" style="3" bestFit="1" customWidth="1"/>
    <col min="49" max="49" width="15.5703125" bestFit="1" customWidth="1"/>
    <col min="62" max="62" width="17.85546875" bestFit="1" customWidth="1"/>
    <col min="63" max="63" width="18.42578125" bestFit="1" customWidth="1"/>
  </cols>
  <sheetData>
    <row r="1" spans="2:63" ht="15.75" thickBot="1" x14ac:dyDescent="0.3"/>
    <row r="2" spans="2:63" ht="15.75" thickBot="1" x14ac:dyDescent="0.3">
      <c r="H2" s="217" t="s">
        <v>76</v>
      </c>
      <c r="I2" s="218"/>
      <c r="J2" s="157">
        <v>4.7</v>
      </c>
      <c r="K2" s="156">
        <v>4.5</v>
      </c>
      <c r="L2" s="156">
        <v>3.1</v>
      </c>
      <c r="M2" s="156">
        <v>2.9</v>
      </c>
      <c r="N2" s="158">
        <v>2.7</v>
      </c>
      <c r="O2" s="156"/>
      <c r="P2" s="159">
        <v>2.7</v>
      </c>
      <c r="Q2" s="159">
        <v>4.5</v>
      </c>
      <c r="R2" s="159">
        <v>2.2000000000000002</v>
      </c>
      <c r="S2" s="161">
        <v>1.6</v>
      </c>
      <c r="T2" s="160">
        <v>1.3</v>
      </c>
    </row>
    <row r="3" spans="2:63" ht="15.75" thickBot="1" x14ac:dyDescent="0.3">
      <c r="B3" s="10" t="s">
        <v>0</v>
      </c>
      <c r="C3" s="47">
        <v>44903</v>
      </c>
      <c r="H3" s="224" t="s">
        <v>30</v>
      </c>
      <c r="I3" s="224" t="s">
        <v>33</v>
      </c>
      <c r="J3" s="232" t="s">
        <v>31</v>
      </c>
      <c r="K3" s="232"/>
      <c r="L3" s="232"/>
      <c r="M3" s="232"/>
      <c r="N3" s="232"/>
      <c r="O3" s="232"/>
      <c r="P3" s="232"/>
      <c r="Q3" s="232"/>
      <c r="R3" s="232"/>
      <c r="S3" s="232"/>
      <c r="T3" s="233"/>
      <c r="U3" s="211" t="s">
        <v>52</v>
      </c>
      <c r="V3" s="211"/>
      <c r="W3" s="211"/>
      <c r="X3" s="211"/>
      <c r="Y3" s="211"/>
      <c r="Z3" s="211"/>
      <c r="AA3" s="211"/>
      <c r="AB3" s="211"/>
      <c r="AC3" s="211"/>
      <c r="AD3" s="212"/>
      <c r="AE3" s="227" t="s">
        <v>34</v>
      </c>
      <c r="AF3" s="227"/>
      <c r="AG3" s="217" t="s">
        <v>73</v>
      </c>
      <c r="AH3" s="226"/>
      <c r="AI3" s="226"/>
      <c r="AJ3" s="226"/>
      <c r="AK3" s="226"/>
      <c r="AL3" s="226"/>
      <c r="AM3" s="226"/>
      <c r="AN3" s="226"/>
      <c r="AO3" s="224" t="s">
        <v>74</v>
      </c>
      <c r="AP3" s="224" t="s">
        <v>84</v>
      </c>
      <c r="AQ3" s="224" t="s">
        <v>75</v>
      </c>
      <c r="AR3" s="239" t="s">
        <v>80</v>
      </c>
      <c r="AS3" s="245" t="s">
        <v>81</v>
      </c>
      <c r="AT3" s="241" t="s">
        <v>82</v>
      </c>
      <c r="AU3" s="200"/>
      <c r="AV3" s="227" t="s">
        <v>36</v>
      </c>
      <c r="AW3" s="224" t="s">
        <v>49</v>
      </c>
      <c r="AX3" s="217" t="s">
        <v>95</v>
      </c>
      <c r="AY3" s="226"/>
      <c r="AZ3" s="226"/>
      <c r="BA3" s="226"/>
      <c r="BB3" s="226"/>
      <c r="BC3" s="218"/>
      <c r="BD3" s="217" t="s">
        <v>51</v>
      </c>
      <c r="BE3" s="226"/>
      <c r="BF3" s="226"/>
      <c r="BG3" s="226"/>
      <c r="BH3" s="226"/>
      <c r="BI3" s="218"/>
      <c r="BJ3" s="224" t="s">
        <v>53</v>
      </c>
      <c r="BK3" s="219" t="s">
        <v>54</v>
      </c>
    </row>
    <row r="4" spans="2:63" ht="15.75" thickBot="1" x14ac:dyDescent="0.3">
      <c r="B4" s="11" t="s">
        <v>1</v>
      </c>
      <c r="C4" s="48" t="s">
        <v>79</v>
      </c>
      <c r="E4" s="1"/>
      <c r="F4" s="1"/>
      <c r="H4" s="225"/>
      <c r="I4" s="225"/>
      <c r="J4" s="19" t="s">
        <v>40</v>
      </c>
      <c r="K4" s="20" t="s">
        <v>41</v>
      </c>
      <c r="L4" s="20" t="s">
        <v>42</v>
      </c>
      <c r="M4" s="20" t="s">
        <v>43</v>
      </c>
      <c r="N4" s="20" t="s">
        <v>70</v>
      </c>
      <c r="O4" s="20" t="s">
        <v>86</v>
      </c>
      <c r="P4" s="20" t="s">
        <v>45</v>
      </c>
      <c r="Q4" s="20" t="s">
        <v>72</v>
      </c>
      <c r="R4" s="20" t="s">
        <v>46</v>
      </c>
      <c r="S4" s="20" t="s">
        <v>47</v>
      </c>
      <c r="T4" s="31" t="s">
        <v>48</v>
      </c>
      <c r="U4" s="19" t="s">
        <v>18</v>
      </c>
      <c r="V4" s="20" t="s">
        <v>19</v>
      </c>
      <c r="W4" s="20" t="s">
        <v>6</v>
      </c>
      <c r="X4" s="20" t="s">
        <v>7</v>
      </c>
      <c r="Y4" s="20" t="s">
        <v>10</v>
      </c>
      <c r="Z4" s="20" t="s">
        <v>8</v>
      </c>
      <c r="AA4" s="20" t="s">
        <v>68</v>
      </c>
      <c r="AB4" s="20" t="s">
        <v>9</v>
      </c>
      <c r="AC4" s="20" t="s">
        <v>12</v>
      </c>
      <c r="AD4" s="31" t="s">
        <v>11</v>
      </c>
      <c r="AE4" s="234"/>
      <c r="AF4" s="228"/>
      <c r="AG4" s="19" t="s">
        <v>37</v>
      </c>
      <c r="AH4" s="20" t="s">
        <v>38</v>
      </c>
      <c r="AI4" s="20" t="s">
        <v>39</v>
      </c>
      <c r="AJ4" s="20" t="s">
        <v>10</v>
      </c>
      <c r="AK4" s="20" t="s">
        <v>8</v>
      </c>
      <c r="AL4" s="20" t="s">
        <v>68</v>
      </c>
      <c r="AM4" s="20" t="s">
        <v>35</v>
      </c>
      <c r="AN4" s="20" t="s">
        <v>11</v>
      </c>
      <c r="AO4" s="225"/>
      <c r="AP4" s="225"/>
      <c r="AQ4" s="225"/>
      <c r="AR4" s="240"/>
      <c r="AS4" s="246"/>
      <c r="AT4" s="242"/>
      <c r="AU4" s="168"/>
      <c r="AV4" s="228"/>
      <c r="AW4" s="225"/>
      <c r="AX4" s="19" t="s">
        <v>37</v>
      </c>
      <c r="AY4" s="20" t="s">
        <v>38</v>
      </c>
      <c r="AZ4" s="20" t="s">
        <v>39</v>
      </c>
      <c r="BA4" s="20" t="s">
        <v>10</v>
      </c>
      <c r="BB4" s="20" t="s">
        <v>35</v>
      </c>
      <c r="BC4" s="31" t="s">
        <v>11</v>
      </c>
      <c r="BD4" s="19" t="s">
        <v>37</v>
      </c>
      <c r="BE4" s="20" t="s">
        <v>38</v>
      </c>
      <c r="BF4" s="20" t="s">
        <v>39</v>
      </c>
      <c r="BG4" s="20" t="s">
        <v>10</v>
      </c>
      <c r="BH4" s="20" t="s">
        <v>35</v>
      </c>
      <c r="BI4" s="31" t="s">
        <v>11</v>
      </c>
      <c r="BJ4" s="225"/>
      <c r="BK4" s="219"/>
    </row>
    <row r="5" spans="2:63" x14ac:dyDescent="0.25">
      <c r="B5" s="11" t="s">
        <v>2</v>
      </c>
      <c r="C5" s="94">
        <v>0.2026</v>
      </c>
      <c r="H5" s="58" t="s">
        <v>32</v>
      </c>
      <c r="I5" s="58"/>
      <c r="J5" s="57">
        <v>5989</v>
      </c>
      <c r="K5" s="78"/>
      <c r="L5" s="81">
        <v>2</v>
      </c>
      <c r="M5" s="59"/>
      <c r="N5" s="81"/>
      <c r="O5" s="81"/>
      <c r="P5" s="81"/>
      <c r="Q5" s="59"/>
      <c r="R5" s="81"/>
      <c r="S5" s="81"/>
      <c r="T5" s="60"/>
      <c r="U5" s="61">
        <f>J5*$D$9</f>
        <v>8.9521036385916122E-7</v>
      </c>
      <c r="V5" s="62">
        <f>K5*$D$10</f>
        <v>0</v>
      </c>
      <c r="W5" s="62">
        <f>L5*$D$11</f>
        <v>2.9590100658805987E-10</v>
      </c>
      <c r="X5" s="62">
        <f>M5*$D$12</f>
        <v>0</v>
      </c>
      <c r="Y5" s="62">
        <f>N5*$D$13</f>
        <v>0</v>
      </c>
      <c r="Z5" s="62">
        <f t="shared" ref="Z5:Z7" si="0">P5*$D$14</f>
        <v>0</v>
      </c>
      <c r="AA5" s="62"/>
      <c r="AB5" s="62">
        <f t="shared" ref="AB5:AB7" si="1">R5*$D$15</f>
        <v>0</v>
      </c>
      <c r="AC5" s="62">
        <f t="shared" ref="AC5:AC32" si="2">S5*$D$16</f>
        <v>0</v>
      </c>
      <c r="AD5" s="63">
        <f t="shared" ref="AD5:AD32" si="3">T5*$D$19</f>
        <v>0</v>
      </c>
      <c r="AE5" s="64"/>
      <c r="AF5" s="65"/>
      <c r="AG5" s="66"/>
      <c r="AH5" s="67"/>
      <c r="AI5" s="67"/>
      <c r="AJ5" s="67"/>
      <c r="AK5" s="67"/>
      <c r="AL5" s="67"/>
      <c r="AM5" s="67"/>
      <c r="AN5" s="145"/>
      <c r="AO5" s="145"/>
      <c r="AP5" s="145"/>
      <c r="AQ5" s="145"/>
      <c r="AR5" s="118"/>
      <c r="AS5" s="119"/>
      <c r="AT5" s="120"/>
      <c r="AU5" s="120"/>
      <c r="AV5" s="58"/>
      <c r="AW5" s="104"/>
      <c r="AX5" s="50"/>
      <c r="AY5" s="103"/>
      <c r="AZ5" s="103"/>
      <c r="BA5" s="103"/>
      <c r="BB5" s="103"/>
      <c r="BC5" s="104"/>
      <c r="BD5" s="105"/>
      <c r="BE5" s="103"/>
      <c r="BF5" s="103"/>
      <c r="BG5" s="103"/>
      <c r="BH5" s="103"/>
      <c r="BI5" s="104"/>
      <c r="BJ5" s="3"/>
    </row>
    <row r="6" spans="2:63" ht="15.75" thickBot="1" x14ac:dyDescent="0.3">
      <c r="B6" s="12" t="s">
        <v>3</v>
      </c>
      <c r="C6" s="46">
        <v>1</v>
      </c>
      <c r="H6" s="51" t="s">
        <v>32</v>
      </c>
      <c r="I6" s="57"/>
      <c r="J6" s="166">
        <v>6198</v>
      </c>
      <c r="K6" s="79"/>
      <c r="L6" s="82">
        <v>2</v>
      </c>
      <c r="M6" s="52"/>
      <c r="N6" s="82"/>
      <c r="O6" s="82"/>
      <c r="P6" s="82"/>
      <c r="Q6" s="52"/>
      <c r="R6" s="82"/>
      <c r="S6" s="82"/>
      <c r="T6" s="53"/>
      <c r="U6" s="54">
        <f>J6*$D$9</f>
        <v>9.2645079899800987E-7</v>
      </c>
      <c r="V6" s="162">
        <f t="shared" ref="V6:V32" si="4">K6*$D$10</f>
        <v>0</v>
      </c>
      <c r="W6" s="162">
        <f t="shared" ref="W6:W7" si="5">L6*$D$11</f>
        <v>2.9590100658805987E-10</v>
      </c>
      <c r="X6" s="162">
        <f t="shared" ref="X6:X32" si="6">M6*$D$12</f>
        <v>0</v>
      </c>
      <c r="Y6" s="162">
        <f t="shared" ref="Y6:Y32" si="7">N6*$D$13</f>
        <v>0</v>
      </c>
      <c r="Z6" s="162">
        <f t="shared" si="0"/>
        <v>0</v>
      </c>
      <c r="AA6" s="162"/>
      <c r="AB6" s="162">
        <f t="shared" si="1"/>
        <v>0</v>
      </c>
      <c r="AC6" s="162">
        <f t="shared" si="2"/>
        <v>0</v>
      </c>
      <c r="AD6" s="55">
        <f t="shared" si="3"/>
        <v>0</v>
      </c>
      <c r="AE6" s="49"/>
      <c r="AF6" s="56"/>
      <c r="AG6" s="57"/>
      <c r="AH6" s="150"/>
      <c r="AI6" s="150"/>
      <c r="AJ6" s="150"/>
      <c r="AK6" s="150"/>
      <c r="AL6" s="150"/>
      <c r="AM6" s="150"/>
      <c r="AN6" s="146"/>
      <c r="AO6" s="146"/>
      <c r="AP6" s="146"/>
      <c r="AQ6" s="150"/>
      <c r="AR6" s="176"/>
      <c r="AS6" s="176"/>
      <c r="AT6" s="176"/>
      <c r="AV6" s="146"/>
      <c r="AW6" s="107"/>
      <c r="AX6" s="76"/>
      <c r="AY6" s="106"/>
      <c r="AZ6" s="106"/>
      <c r="BA6" s="106"/>
      <c r="BB6" s="106"/>
      <c r="BC6" s="107"/>
      <c r="BD6" s="108"/>
      <c r="BE6" s="106"/>
      <c r="BF6" s="106"/>
      <c r="BG6" s="106"/>
      <c r="BH6" s="106"/>
      <c r="BI6" s="107"/>
      <c r="BJ6" s="3"/>
    </row>
    <row r="7" spans="2:63" ht="15.75" thickBot="1" x14ac:dyDescent="0.3">
      <c r="G7" s="180" t="s">
        <v>88</v>
      </c>
      <c r="H7" s="68" t="s">
        <v>32</v>
      </c>
      <c r="I7" s="76"/>
      <c r="J7" s="166">
        <v>6106</v>
      </c>
      <c r="K7" s="80"/>
      <c r="L7" s="83">
        <v>2</v>
      </c>
      <c r="M7" s="69"/>
      <c r="N7" s="83"/>
      <c r="O7" s="83"/>
      <c r="P7" s="83"/>
      <c r="Q7" s="69"/>
      <c r="R7" s="83"/>
      <c r="S7" s="83"/>
      <c r="T7" s="70"/>
      <c r="U7" s="71">
        <f t="shared" ref="U7:U32" si="8">J7*$D$9</f>
        <v>9.1269902850626792E-7</v>
      </c>
      <c r="V7" s="72">
        <f t="shared" si="4"/>
        <v>0</v>
      </c>
      <c r="W7" s="72">
        <f t="shared" si="5"/>
        <v>2.9590100658805987E-10</v>
      </c>
      <c r="X7" s="72">
        <f t="shared" si="6"/>
        <v>0</v>
      </c>
      <c r="Y7" s="72">
        <f t="shared" si="7"/>
        <v>0</v>
      </c>
      <c r="Z7" s="72">
        <f t="shared" si="0"/>
        <v>0</v>
      </c>
      <c r="AA7" s="72"/>
      <c r="AB7" s="72">
        <f t="shared" si="1"/>
        <v>0</v>
      </c>
      <c r="AC7" s="72">
        <f t="shared" si="2"/>
        <v>0</v>
      </c>
      <c r="AD7" s="73">
        <f t="shared" si="3"/>
        <v>0</v>
      </c>
      <c r="AE7" s="74"/>
      <c r="AF7" s="75"/>
      <c r="AG7" s="76"/>
      <c r="AH7" s="77"/>
      <c r="AI7" s="77"/>
      <c r="AJ7" s="77"/>
      <c r="AK7" s="77"/>
      <c r="AL7" s="77"/>
      <c r="AM7" s="77"/>
      <c r="AN7" s="147"/>
      <c r="AO7" s="147"/>
      <c r="AP7" s="147"/>
      <c r="AQ7" s="77"/>
      <c r="AR7" s="176"/>
      <c r="AS7" s="176"/>
      <c r="AT7" s="176"/>
      <c r="AU7" s="201"/>
      <c r="AV7" s="147"/>
      <c r="AW7" s="107"/>
      <c r="AX7" s="76"/>
      <c r="AY7" s="106"/>
      <c r="AZ7" s="106"/>
      <c r="BA7" s="106"/>
      <c r="BB7" s="106"/>
      <c r="BC7" s="107"/>
      <c r="BD7" s="108"/>
      <c r="BE7" s="106"/>
      <c r="BF7" s="106"/>
      <c r="BG7" s="106"/>
      <c r="BH7" s="106"/>
      <c r="BI7" s="107"/>
      <c r="BJ7" s="3"/>
    </row>
    <row r="8" spans="2:63" ht="15.75" thickBot="1" x14ac:dyDescent="0.3">
      <c r="B8" s="8" t="s">
        <v>4</v>
      </c>
      <c r="C8" s="16" t="s">
        <v>14</v>
      </c>
      <c r="D8" s="9" t="s">
        <v>5</v>
      </c>
      <c r="G8" s="181">
        <f>J8/O8</f>
        <v>5.4345279925040992E-2</v>
      </c>
      <c r="H8" s="17">
        <v>1</v>
      </c>
      <c r="I8" s="17">
        <v>1</v>
      </c>
      <c r="J8" s="40">
        <v>3480</v>
      </c>
      <c r="K8" s="41">
        <v>95</v>
      </c>
      <c r="L8" s="41"/>
      <c r="M8" s="41"/>
      <c r="N8" s="41"/>
      <c r="O8" s="41">
        <v>64035</v>
      </c>
      <c r="P8" s="41">
        <v>734</v>
      </c>
      <c r="Q8" s="41">
        <v>88</v>
      </c>
      <c r="R8" s="41">
        <v>4</v>
      </c>
      <c r="S8" s="41">
        <v>0</v>
      </c>
      <c r="T8" s="42">
        <v>0</v>
      </c>
      <c r="U8" s="32">
        <f>J8*$D$9</f>
        <v>5.2017566642676256E-7</v>
      </c>
      <c r="V8" s="163">
        <f t="shared" si="4"/>
        <v>1.4932166748653066E-8</v>
      </c>
      <c r="W8" s="163">
        <f>(L8)*$D$11</f>
        <v>0</v>
      </c>
      <c r="X8" s="163">
        <f t="shared" si="6"/>
        <v>0</v>
      </c>
      <c r="Y8" s="163">
        <f t="shared" si="7"/>
        <v>0</v>
      </c>
      <c r="Z8" s="163">
        <f>P9*$D$14</f>
        <v>4.5929064044016253E-8</v>
      </c>
      <c r="AA8" s="163">
        <f>Q8*$D$17</f>
        <v>7.6972531154099255E-9</v>
      </c>
      <c r="AB8" s="163">
        <f>R9*$D$15</f>
        <v>1.848366355720169E-9</v>
      </c>
      <c r="AC8" s="163">
        <f t="shared" si="2"/>
        <v>0</v>
      </c>
      <c r="AD8" s="33">
        <f t="shared" si="3"/>
        <v>0</v>
      </c>
      <c r="AE8" s="37">
        <f>((Branco!P10-U8)/(Branco!P10))*100</f>
        <v>42.397457542953617</v>
      </c>
      <c r="AF8" s="38"/>
      <c r="AG8" s="39">
        <f>(V8/SUM(V8,W8,X8,Y8,Z8,AA8,AB8,AD8))*100</f>
        <v>21.208400450674088</v>
      </c>
      <c r="AH8" s="39">
        <f>(W8/SUM(V8,X8,Y8,Z8,AA8,AB8,AD8))*100</f>
        <v>0</v>
      </c>
      <c r="AI8" s="39">
        <f>(X8/SUM(V8,W8,X8,Y8,Z8,AA8,AB8,AD8))*100</f>
        <v>0</v>
      </c>
      <c r="AJ8" s="39">
        <f>(Y8/SUM(V8,W8,X8,Y8,Z8,AA8,AB8,AD8))*100</f>
        <v>0</v>
      </c>
      <c r="AK8" s="39">
        <f>(Z8/SUM(V8,W8,X8,Y8,Z8,AA8,AB8,AD8))*100</f>
        <v>65.233800222463969</v>
      </c>
      <c r="AL8" s="39">
        <f>(AA8/SUM(V8,W8,X8,Y8,Z8,AB8,AD8))*100</f>
        <v>12.274441976075758</v>
      </c>
      <c r="AM8" s="39">
        <f>(AB8/SUM(V8,W8,X8,Y8,Z8,AA8,AB8,AD8))*100</f>
        <v>2.6252649405487327</v>
      </c>
      <c r="AN8" s="38">
        <f>(AD8/SUM(V8,W8,X8,Y8,Z8,AA8,AB8,AD8))*100</f>
        <v>0</v>
      </c>
      <c r="AO8" s="38">
        <f>(V8/(SUM(V8+(W8*2/3)+(X8*2/3)+(Y8*1/3)+(Z8*1/3)+(AB8*1/3)))*100)</f>
        <v>48.389973217629681</v>
      </c>
      <c r="AP8" s="38">
        <f>(W8/(SUM(V8*3/2)+W8+(X8)+(Y8*1/2)+(Z8*1/2)++(AB8*1/2))*100)</f>
        <v>0</v>
      </c>
      <c r="AQ8" s="38">
        <f>(X8/(SUM(V8*3/2)+W8+X8+(Y8*1/2)+(Z8*1/2)+(AB8*1/2))*100)</f>
        <v>0</v>
      </c>
      <c r="AR8" s="38">
        <f>(Z8/(SUM(V8*3)+(W8*2)+(X8*2)+Y8+(Z8)+(AB8))*100)</f>
        <v>49.613388697730322</v>
      </c>
      <c r="AS8" s="38">
        <f>(AB8/(SUM((V8*3)+(W8*2)+(X8*2)+Z8+Y8+AB8))*100)</f>
        <v>1.9966380846399894</v>
      </c>
      <c r="AT8" s="38">
        <f>(Y8/(SUM(V8*3)+(W8*2)+(X8*2)+Y8+Z8+AB8))*100</f>
        <v>0</v>
      </c>
      <c r="AU8" s="38">
        <f>AO8*AV8/100</f>
        <v>29.527393901910287</v>
      </c>
      <c r="AV8" s="38">
        <f>(((U8*3)+(V8*3)+(2*W8)+(2*X8)+(Y8)+(Z8)+(AB8)))/((Branco!$P$10*3))*100</f>
        <v>61.019653325934712</v>
      </c>
      <c r="AW8" s="151">
        <f>(AU8*AE8)/100</f>
        <v>12.518864293103091</v>
      </c>
      <c r="AX8" s="186">
        <f>(((AW8/100)*($C$23/60)*1000)/$C$5)</f>
        <v>7.5807966321840184E-2</v>
      </c>
      <c r="AY8" s="23">
        <f t="shared" ref="AY8:AY16" si="9">(AH8/100)*(($AE8/100)*($C$26))/($C$5/1000)</f>
        <v>0</v>
      </c>
      <c r="AZ8" s="23">
        <f t="shared" ref="AZ8:AZ16" si="10">(AI8/100)*(($AE8/100)*($C$26))/($C$5/1000)</f>
        <v>0</v>
      </c>
      <c r="BA8" s="23">
        <f t="shared" ref="BA8:BA16" si="11">(AJ8/100)*(($AE8/100)*($C$26))/($C$5/1000)</f>
        <v>0</v>
      </c>
      <c r="BB8" s="23">
        <f t="shared" ref="BB8:BB16" si="12">(AK8/100)*(($AE8/100)*($C$26))/($C$5/1000)</f>
        <v>90.439086606784585</v>
      </c>
      <c r="BC8" s="151">
        <f t="shared" ref="BC8:BC16" si="13">(AN8/100)*(($AE8/100)*($C$26))/($C$5/1000)</f>
        <v>0</v>
      </c>
      <c r="BD8" s="39">
        <f>AX8*42.8</f>
        <v>3.2445809585747596</v>
      </c>
      <c r="BE8" s="23">
        <f>AY8*30.07</f>
        <v>0</v>
      </c>
      <c r="BF8">
        <f>AZ8*28.05</f>
        <v>0</v>
      </c>
      <c r="BG8">
        <f>BA8*16.04</f>
        <v>0</v>
      </c>
      <c r="BH8">
        <f>BB8*28.01</f>
        <v>2533.1988158560362</v>
      </c>
      <c r="BI8" s="14">
        <f>BC8*2</f>
        <v>0</v>
      </c>
      <c r="BJ8" s="109">
        <f t="shared" ref="BJ8:BJ16" si="14">V8*3+W8*2+X8*2+Y8+Z8+AB8</f>
        <v>9.2573930645695614E-8</v>
      </c>
      <c r="BK8" s="1">
        <f t="shared" ref="BK8:BK16" si="15">(BJ8/((3*U8)+BJ8))*100</f>
        <v>5.600016851351028</v>
      </c>
    </row>
    <row r="9" spans="2:63" x14ac:dyDescent="0.25">
      <c r="B9" s="4" t="s">
        <v>18</v>
      </c>
      <c r="C9" s="3" t="s">
        <v>15</v>
      </c>
      <c r="D9" s="29">
        <v>1.4947576621458694E-10</v>
      </c>
      <c r="E9" s="149">
        <f>D9/$D$18</f>
        <v>1.3432113775785175</v>
      </c>
      <c r="F9" s="149"/>
      <c r="G9" s="181">
        <f t="shared" ref="G9:G28" si="16">J9/O9</f>
        <v>8.0041678507151659E-2</v>
      </c>
      <c r="H9" s="17">
        <v>2</v>
      </c>
      <c r="I9" s="17">
        <v>15</v>
      </c>
      <c r="J9" s="40">
        <v>5070</v>
      </c>
      <c r="K9" s="41">
        <v>230</v>
      </c>
      <c r="L9" s="41"/>
      <c r="M9" s="41"/>
      <c r="N9" s="41"/>
      <c r="O9" s="41">
        <v>63342</v>
      </c>
      <c r="P9" s="41">
        <v>361</v>
      </c>
      <c r="Q9" s="41">
        <v>497</v>
      </c>
      <c r="R9" s="41">
        <v>17</v>
      </c>
      <c r="S9" s="41">
        <v>0</v>
      </c>
      <c r="T9" s="42">
        <v>144</v>
      </c>
      <c r="U9" s="32">
        <f t="shared" si="8"/>
        <v>7.5784213470795578E-7</v>
      </c>
      <c r="V9" s="163">
        <f t="shared" si="4"/>
        <v>3.6151561602002165E-8</v>
      </c>
      <c r="W9" s="163">
        <f t="shared" ref="W9:W32" si="17">(L9)*$D$11</f>
        <v>0</v>
      </c>
      <c r="X9" s="163">
        <f t="shared" si="6"/>
        <v>0</v>
      </c>
      <c r="Y9" s="163">
        <f t="shared" si="7"/>
        <v>0</v>
      </c>
      <c r="Z9" s="163">
        <f t="shared" ref="Z9:Z32" si="18">P10*$D$14</f>
        <v>3.3079104297629432E-8</v>
      </c>
      <c r="AA9" s="163">
        <f t="shared" ref="AA9:AA32" si="19">Q9*$D$17</f>
        <v>4.3471986344985603E-8</v>
      </c>
      <c r="AB9" s="163">
        <f t="shared" ref="AB9:AB32" si="20">R10*$D$15</f>
        <v>2.1745486537884339E-9</v>
      </c>
      <c r="AC9" s="163">
        <f t="shared" si="2"/>
        <v>0</v>
      </c>
      <c r="AD9" s="33">
        <f t="shared" si="3"/>
        <v>1.4404152960000001E-8</v>
      </c>
      <c r="AE9" s="37">
        <f>((Branco!$P$10-U9)/(Branco!$P$10))*100</f>
        <v>16.079054523785882</v>
      </c>
      <c r="AF9" s="38"/>
      <c r="AG9" s="39">
        <f t="shared" ref="AG9:AG32" si="21">(V9/SUM(V9,W9,X9,Y9,Z9,AA9,AB9,AD9))*100</f>
        <v>27.963476961725569</v>
      </c>
      <c r="AH9" s="39">
        <f t="shared" ref="AH9:AH32" si="22">(W9/SUM(V9,X9,Y9,Z9,AA9,AB9,AD9))*100</f>
        <v>0</v>
      </c>
      <c r="AI9" s="39">
        <f t="shared" ref="AI9:AI32" si="23">(X9/SUM(V9,W9,X9,Y9,Z9,AA9,AB9,AD9))*100</f>
        <v>0</v>
      </c>
      <c r="AJ9" s="39">
        <f t="shared" ref="AJ9:AJ32" si="24">(Y9/SUM(V9,W9,X9,Y9,Z9,AA9,AB9,AD9))*100</f>
        <v>0</v>
      </c>
      <c r="AK9" s="39">
        <f t="shared" ref="AK9:AK32" si="25">(Z9/SUM(V9,W9,X9,Y9,Z9,AA9,AB9,AD9))*100</f>
        <v>25.586910494346355</v>
      </c>
      <c r="AL9" s="39">
        <f t="shared" ref="AL9:AL32" si="26">(AA9/SUM(V9,W9,X9,Y9,Z9,AB9,AD9))*100</f>
        <v>50.661119647790045</v>
      </c>
      <c r="AM9" s="39">
        <f t="shared" ref="AM9:AM32" si="27">(AB9/SUM(V9,W9,X9,Y9,Z9,AA9,AB9,AD9))*100</f>
        <v>1.6820280642868974</v>
      </c>
      <c r="AN9" s="38">
        <f t="shared" ref="AN9:AN25" si="28">(AD9/SUM(V9,W9,X9,Y9,Z9,AA9,AB9,AD9))*100</f>
        <v>11.141709558345154</v>
      </c>
      <c r="AO9" s="38">
        <f t="shared" ref="AO9:AO32" si="29">(V9/(SUM(V9+(W9*2/3)+(X9*2/3)+(Y9*1/3)+(Z9*1/3)+(AB9*1/3)))*100)</f>
        <v>75.468609893098176</v>
      </c>
      <c r="AP9" s="38">
        <f t="shared" ref="AP9:AP32" si="30">(W9/(SUM(V9*3/2)+W9+(X9)+(Y9*1/2)+(Z9*1/2)++(AB9*1/2))*100)</f>
        <v>0</v>
      </c>
      <c r="AQ9" s="38">
        <f t="shared" ref="AQ9:AQ32" si="31">(X9/(SUM(V9*3/2)+W9+X9+(Y9*1/2)+(Z9*1/2)+(AB9*1/2))*100)</f>
        <v>0</v>
      </c>
      <c r="AR9" s="38">
        <f t="shared" ref="AR9:AR32" si="32">(Z9/(SUM(V9*3)+(W9*2)+(X9*2)+Y9+(Z9)+(AB9))*100)</f>
        <v>23.018222055748801</v>
      </c>
      <c r="AS9" s="38">
        <f t="shared" ref="AS9:AS32" si="33">(AB9/(SUM((V9*3)+(W9*2)+(X9*2)+Z9+Y9+AB9))*100)</f>
        <v>1.5131680511530312</v>
      </c>
      <c r="AT9" s="38">
        <f t="shared" ref="AT9:AT28" si="34">(Y9/(SUM(V9*3)+(W9*2)+(X9*2)+Y9+Z9+AB9))*100</f>
        <v>0</v>
      </c>
      <c r="AU9" s="38">
        <f t="shared" ref="AU9:AU32" si="35">AO9*AV9/100</f>
        <v>67.337275990385834</v>
      </c>
      <c r="AV9" s="38">
        <f>(((U9*3)+(V9*3)+(2*W9)+(2*X9)+(Y9)+(Z9)+(AB9)))/((Branco!$P$10*3))*100</f>
        <v>89.225541699747168</v>
      </c>
      <c r="AW9" s="151">
        <f t="shared" ref="AW9:AW28" si="36">(AU9*AE9)/100</f>
        <v>10.827197321326318</v>
      </c>
      <c r="AX9" s="186">
        <f t="shared" ref="AX9:AX28" si="37">(((AW9/100)*($C$23/60)*1000)/$C$5)</f>
        <v>6.5564079191050367E-2</v>
      </c>
      <c r="AY9" s="23">
        <f t="shared" si="9"/>
        <v>0</v>
      </c>
      <c r="AZ9" s="23">
        <f t="shared" si="10"/>
        <v>0</v>
      </c>
      <c r="BA9" s="23">
        <f t="shared" si="11"/>
        <v>0</v>
      </c>
      <c r="BB9" s="23">
        <f t="shared" si="12"/>
        <v>13.453089520853014</v>
      </c>
      <c r="BC9" s="151">
        <f t="shared" si="13"/>
        <v>5.8580896719391191</v>
      </c>
      <c r="BD9" s="39">
        <f t="shared" ref="BD9:BD33" si="38">AX9*42.8</f>
        <v>2.8061425893769556</v>
      </c>
      <c r="BE9" s="23">
        <f t="shared" ref="BE9:BE32" si="39">AY9*30.07</f>
        <v>0</v>
      </c>
      <c r="BF9">
        <f t="shared" ref="BF9:BF32" si="40">AZ9*28.05</f>
        <v>0</v>
      </c>
      <c r="BG9">
        <f t="shared" ref="BG9:BG32" si="41">BA9*16.04</f>
        <v>0</v>
      </c>
      <c r="BH9">
        <f t="shared" ref="BH9:BH32" si="42">BB9*28.01</f>
        <v>376.82103747909298</v>
      </c>
      <c r="BI9" s="14">
        <f t="shared" ref="BI9:BI32" si="43">BC9*2</f>
        <v>11.716179343878238</v>
      </c>
      <c r="BJ9" s="109">
        <f t="shared" si="14"/>
        <v>1.4370833775742436E-7</v>
      </c>
      <c r="BK9" s="1">
        <f t="shared" si="15"/>
        <v>5.9451544058802765</v>
      </c>
    </row>
    <row r="10" spans="2:63" x14ac:dyDescent="0.25">
      <c r="B10" s="4" t="s">
        <v>19</v>
      </c>
      <c r="C10" s="3" t="s">
        <v>15</v>
      </c>
      <c r="D10" s="29">
        <f>(D9)*(D12/D11)</f>
        <v>1.5718070261740071E-10</v>
      </c>
      <c r="E10" s="149">
        <f t="shared" ref="E10:E19" si="44">D10/$D$18</f>
        <v>1.4124490774536989</v>
      </c>
      <c r="F10" s="149"/>
      <c r="G10" s="181">
        <f t="shared" si="16"/>
        <v>8.0970846787275785E-2</v>
      </c>
      <c r="H10" s="17">
        <v>3</v>
      </c>
      <c r="I10" s="17">
        <v>30</v>
      </c>
      <c r="J10" s="40">
        <v>5241</v>
      </c>
      <c r="K10" s="41">
        <v>193</v>
      </c>
      <c r="L10" s="41"/>
      <c r="M10" s="41"/>
      <c r="N10" s="41"/>
      <c r="O10" s="41">
        <v>64727</v>
      </c>
      <c r="P10" s="41">
        <v>260</v>
      </c>
      <c r="Q10" s="41">
        <v>364</v>
      </c>
      <c r="R10" s="41">
        <v>20</v>
      </c>
      <c r="S10" s="41">
        <v>0</v>
      </c>
      <c r="T10" s="42">
        <v>211</v>
      </c>
      <c r="U10" s="32">
        <f t="shared" si="8"/>
        <v>7.8340249073065022E-7</v>
      </c>
      <c r="V10" s="163">
        <f t="shared" si="4"/>
        <v>3.0335875605158339E-8</v>
      </c>
      <c r="W10" s="163">
        <f t="shared" si="17"/>
        <v>0</v>
      </c>
      <c r="X10" s="163">
        <f t="shared" si="6"/>
        <v>0</v>
      </c>
      <c r="Y10" s="163">
        <f t="shared" si="7"/>
        <v>0</v>
      </c>
      <c r="Z10" s="163">
        <f t="shared" si="18"/>
        <v>1.6157870176149762E-8</v>
      </c>
      <c r="AA10" s="163">
        <f t="shared" si="19"/>
        <v>3.1838637886468331E-8</v>
      </c>
      <c r="AB10" s="163">
        <f t="shared" si="20"/>
        <v>1.1960017595836388E-9</v>
      </c>
      <c r="AC10" s="163">
        <f t="shared" si="2"/>
        <v>0</v>
      </c>
      <c r="AD10" s="33">
        <f t="shared" si="3"/>
        <v>2.1106085240000001E-8</v>
      </c>
      <c r="AE10" s="37">
        <f>((Branco!$P$10-U10)/(Branco!$P$10))*100</f>
        <v>13.248584765120663</v>
      </c>
      <c r="AF10" s="38"/>
      <c r="AG10" s="39">
        <f>(V10/SUM(V10,W10,X10,Y10,Z10,AA10,AB10,AD10))*100</f>
        <v>30.144616853435213</v>
      </c>
      <c r="AH10" s="39">
        <f t="shared" si="22"/>
        <v>0</v>
      </c>
      <c r="AI10" s="39">
        <f t="shared" si="23"/>
        <v>0</v>
      </c>
      <c r="AJ10" s="39">
        <f t="shared" si="24"/>
        <v>0</v>
      </c>
      <c r="AK10" s="39">
        <f t="shared" si="25"/>
        <v>16.055999568535942</v>
      </c>
      <c r="AL10" s="39">
        <f t="shared" si="26"/>
        <v>46.279893126479614</v>
      </c>
      <c r="AM10" s="39">
        <f t="shared" si="27"/>
        <v>1.1884613211082868</v>
      </c>
      <c r="AN10" s="38">
        <f t="shared" si="28"/>
        <v>20.97301759529757</v>
      </c>
      <c r="AO10" s="38">
        <f t="shared" si="29"/>
        <v>83.985204952197222</v>
      </c>
      <c r="AP10" s="38">
        <f t="shared" si="30"/>
        <v>0</v>
      </c>
      <c r="AQ10" s="38">
        <f t="shared" si="31"/>
        <v>0</v>
      </c>
      <c r="AR10" s="38">
        <f t="shared" si="32"/>
        <v>14.911080376663371</v>
      </c>
      <c r="AS10" s="38">
        <f t="shared" si="33"/>
        <v>1.1037146711394128</v>
      </c>
      <c r="AT10" s="38">
        <f t="shared" si="34"/>
        <v>0</v>
      </c>
      <c r="AU10" s="38">
        <f t="shared" si="35"/>
        <v>76.217648974623486</v>
      </c>
      <c r="AV10" s="38">
        <f>(((U10*3)+(V10*3)+(2*W10)+(2*X10)+(Y10)+(Z10)+(AB10)))/((Branco!$P$10*3))*100</f>
        <v>90.751280559480833</v>
      </c>
      <c r="AW10" s="151">
        <f t="shared" si="36"/>
        <v>10.097759830385112</v>
      </c>
      <c r="AX10" s="186">
        <f t="shared" si="37"/>
        <v>6.1146971420529751E-2</v>
      </c>
      <c r="AY10" s="23">
        <f t="shared" si="9"/>
        <v>0</v>
      </c>
      <c r="AZ10" s="23">
        <f t="shared" si="10"/>
        <v>0</v>
      </c>
      <c r="BA10" s="23">
        <f t="shared" si="11"/>
        <v>0</v>
      </c>
      <c r="BB10" s="23">
        <f t="shared" si="12"/>
        <v>6.955854849563524</v>
      </c>
      <c r="BC10" s="151">
        <f t="shared" si="13"/>
        <v>9.0860282804264045</v>
      </c>
      <c r="BD10" s="39">
        <f t="shared" si="38"/>
        <v>2.6170903767986733</v>
      </c>
      <c r="BE10" s="23">
        <f t="shared" si="39"/>
        <v>0</v>
      </c>
      <c r="BF10">
        <f t="shared" si="40"/>
        <v>0</v>
      </c>
      <c r="BG10">
        <f t="shared" si="41"/>
        <v>0</v>
      </c>
      <c r="BH10">
        <f t="shared" si="42"/>
        <v>194.83349433627433</v>
      </c>
      <c r="BI10" s="14">
        <f t="shared" si="43"/>
        <v>18.172056560852809</v>
      </c>
      <c r="BJ10" s="109">
        <f t="shared" si="14"/>
        <v>1.0836149875120842E-7</v>
      </c>
      <c r="BK10" s="1">
        <f t="shared" si="15"/>
        <v>4.4075029023748984</v>
      </c>
    </row>
    <row r="11" spans="2:63" x14ac:dyDescent="0.25">
      <c r="B11" s="4" t="s">
        <v>6</v>
      </c>
      <c r="C11" s="3" t="s">
        <v>15</v>
      </c>
      <c r="D11" s="29">
        <v>1.4795050329402993E-10</v>
      </c>
      <c r="E11" s="149">
        <f t="shared" si="44"/>
        <v>1.3295051390317978</v>
      </c>
      <c r="F11" s="149"/>
      <c r="G11" s="181">
        <f t="shared" si="16"/>
        <v>8.3779924143543752E-2</v>
      </c>
      <c r="H11" s="17">
        <v>4</v>
      </c>
      <c r="I11" s="17">
        <v>45</v>
      </c>
      <c r="J11" s="40">
        <v>5456</v>
      </c>
      <c r="K11" s="41">
        <v>154</v>
      </c>
      <c r="L11" s="41"/>
      <c r="M11" s="41"/>
      <c r="N11" s="41"/>
      <c r="O11" s="41">
        <v>65123</v>
      </c>
      <c r="P11" s="41">
        <v>127</v>
      </c>
      <c r="Q11" s="41">
        <v>158</v>
      </c>
      <c r="R11" s="41">
        <v>11</v>
      </c>
      <c r="S11" s="41">
        <v>0</v>
      </c>
      <c r="T11" s="42">
        <v>179</v>
      </c>
      <c r="U11" s="32">
        <f t="shared" si="8"/>
        <v>8.1553978046678636E-7</v>
      </c>
      <c r="V11" s="163">
        <f t="shared" si="4"/>
        <v>2.4205828203079709E-8</v>
      </c>
      <c r="W11" s="163">
        <f t="shared" si="17"/>
        <v>0</v>
      </c>
      <c r="X11" s="163">
        <f t="shared" si="6"/>
        <v>0</v>
      </c>
      <c r="Y11" s="163">
        <f t="shared" si="7"/>
        <v>0</v>
      </c>
      <c r="Z11" s="163">
        <f t="shared" si="18"/>
        <v>9.7965039650671791E-9</v>
      </c>
      <c r="AA11" s="163">
        <f t="shared" si="19"/>
        <v>1.3820068093576912E-8</v>
      </c>
      <c r="AB11" s="163">
        <f t="shared" si="20"/>
        <v>8.6981946151537366E-10</v>
      </c>
      <c r="AC11" s="163">
        <f t="shared" si="2"/>
        <v>0</v>
      </c>
      <c r="AD11" s="33">
        <f t="shared" si="3"/>
        <v>1.790516236E-8</v>
      </c>
      <c r="AE11" s="37">
        <f>((Branco!$P$10-U11)/(Branco!$P$10))*100</f>
        <v>9.6898069983778612</v>
      </c>
      <c r="AF11" s="38"/>
      <c r="AG11" s="39">
        <f t="shared" si="21"/>
        <v>36.346516103028151</v>
      </c>
      <c r="AH11" s="39">
        <f t="shared" si="22"/>
        <v>0</v>
      </c>
      <c r="AI11" s="39">
        <f t="shared" si="23"/>
        <v>0</v>
      </c>
      <c r="AJ11" s="39">
        <f t="shared" si="24"/>
        <v>0</v>
      </c>
      <c r="AK11" s="39">
        <f t="shared" si="25"/>
        <v>14.710043636283871</v>
      </c>
      <c r="AL11" s="39">
        <f t="shared" si="26"/>
        <v>26.18562228514303</v>
      </c>
      <c r="AM11" s="39">
        <f t="shared" si="27"/>
        <v>1.3060865672290209</v>
      </c>
      <c r="AN11" s="38">
        <f t="shared" si="28"/>
        <v>26.885684992272786</v>
      </c>
      <c r="AO11" s="38">
        <f t="shared" si="29"/>
        <v>87.192800523728692</v>
      </c>
      <c r="AP11" s="38">
        <f t="shared" si="30"/>
        <v>0</v>
      </c>
      <c r="AQ11" s="38">
        <f t="shared" si="31"/>
        <v>0</v>
      </c>
      <c r="AR11" s="38">
        <f t="shared" si="32"/>
        <v>11.76279542939913</v>
      </c>
      <c r="AS11" s="38">
        <f t="shared" si="33"/>
        <v>1.0444040468721729</v>
      </c>
      <c r="AT11" s="38">
        <f t="shared" si="34"/>
        <v>0</v>
      </c>
      <c r="AU11" s="38">
        <f t="shared" si="35"/>
        <v>81.424460239423539</v>
      </c>
      <c r="AV11" s="38">
        <f>(((U11*3)+(V11*3)+(2*W11)+(2*X11)+(Y11)+(Z11)+(AB11)))/((Branco!$P$10*3))*100</f>
        <v>93.384384662888138</v>
      </c>
      <c r="AW11" s="151">
        <f t="shared" si="36"/>
        <v>7.8898730466710605</v>
      </c>
      <c r="AX11" s="186">
        <f t="shared" si="37"/>
        <v>4.7777115895021628E-2</v>
      </c>
      <c r="AY11" s="23">
        <f t="shared" si="9"/>
        <v>0</v>
      </c>
      <c r="AZ11" s="23">
        <f t="shared" si="10"/>
        <v>0</v>
      </c>
      <c r="BA11" s="23">
        <f t="shared" si="11"/>
        <v>0</v>
      </c>
      <c r="BB11" s="23">
        <f t="shared" si="12"/>
        <v>4.660931949503941</v>
      </c>
      <c r="BC11" s="151">
        <f t="shared" si="13"/>
        <v>8.5188291254069934</v>
      </c>
      <c r="BD11" s="39">
        <f t="shared" si="38"/>
        <v>2.0448605603069256</v>
      </c>
      <c r="BE11" s="23">
        <f t="shared" si="39"/>
        <v>0</v>
      </c>
      <c r="BF11">
        <f t="shared" si="40"/>
        <v>0</v>
      </c>
      <c r="BG11">
        <f t="shared" si="41"/>
        <v>0</v>
      </c>
      <c r="BH11">
        <f t="shared" si="42"/>
        <v>130.5527039056054</v>
      </c>
      <c r="BI11" s="14">
        <f t="shared" si="43"/>
        <v>17.037658250813987</v>
      </c>
      <c r="BJ11" s="109">
        <f t="shared" si="14"/>
        <v>8.3283808035821683E-8</v>
      </c>
      <c r="BK11" s="1">
        <f t="shared" si="15"/>
        <v>3.291976139655088</v>
      </c>
    </row>
    <row r="12" spans="2:63" x14ac:dyDescent="0.25">
      <c r="B12" s="5" t="s">
        <v>7</v>
      </c>
      <c r="C12" s="3" t="s">
        <v>15</v>
      </c>
      <c r="D12" s="29">
        <f>(D9)*(1.02/0.98)</f>
        <v>1.5557681789681499E-10</v>
      </c>
      <c r="E12" s="149">
        <f t="shared" si="44"/>
        <v>1.3980363317653957</v>
      </c>
      <c r="F12" s="149"/>
      <c r="G12" s="181">
        <f t="shared" si="16"/>
        <v>8.42169408897014E-2</v>
      </c>
      <c r="H12" s="84">
        <v>5</v>
      </c>
      <c r="I12" s="84">
        <v>60</v>
      </c>
      <c r="J12" s="85">
        <v>5528</v>
      </c>
      <c r="K12" s="86">
        <v>124</v>
      </c>
      <c r="L12" s="86"/>
      <c r="M12" s="86"/>
      <c r="N12" s="86"/>
      <c r="O12" s="86">
        <v>65640</v>
      </c>
      <c r="P12" s="86">
        <v>77</v>
      </c>
      <c r="Q12" s="86">
        <v>100</v>
      </c>
      <c r="R12" s="86">
        <v>8</v>
      </c>
      <c r="S12" s="86">
        <v>0</v>
      </c>
      <c r="T12" s="87">
        <v>131</v>
      </c>
      <c r="U12" s="88">
        <f t="shared" si="8"/>
        <v>8.2630203563423668E-7</v>
      </c>
      <c r="V12" s="164">
        <f t="shared" si="4"/>
        <v>1.9490407124557689E-8</v>
      </c>
      <c r="W12" s="164">
        <f t="shared" si="17"/>
        <v>0</v>
      </c>
      <c r="X12" s="164">
        <f t="shared" si="6"/>
        <v>0</v>
      </c>
      <c r="Y12" s="164">
        <f t="shared" si="7"/>
        <v>0</v>
      </c>
      <c r="Z12" s="164">
        <f t="shared" si="18"/>
        <v>6.1069115626392805E-9</v>
      </c>
      <c r="AA12" s="164">
        <f t="shared" si="19"/>
        <v>8.7468785402385531E-9</v>
      </c>
      <c r="AB12" s="164">
        <f t="shared" si="20"/>
        <v>5.4363716344710849E-10</v>
      </c>
      <c r="AC12" s="164">
        <f t="shared" si="2"/>
        <v>0</v>
      </c>
      <c r="AD12" s="89">
        <f t="shared" si="3"/>
        <v>1.3103778040000001E-8</v>
      </c>
      <c r="AE12" s="90">
        <f>((Branco!$P$10-U12)/(Branco!$P$10))*100</f>
        <v>8.4980302578872404</v>
      </c>
      <c r="AF12" s="91"/>
      <c r="AG12" s="92">
        <f t="shared" si="21"/>
        <v>40.612111444739867</v>
      </c>
      <c r="AH12" s="92">
        <f t="shared" si="22"/>
        <v>0</v>
      </c>
      <c r="AI12" s="92">
        <f t="shared" si="23"/>
        <v>0</v>
      </c>
      <c r="AJ12" s="92">
        <f t="shared" si="24"/>
        <v>0</v>
      </c>
      <c r="AK12" s="92">
        <f t="shared" si="25"/>
        <v>12.724955993996732</v>
      </c>
      <c r="AL12" s="92">
        <f t="shared" si="26"/>
        <v>22.288031216141853</v>
      </c>
      <c r="AM12" s="92">
        <f t="shared" si="27"/>
        <v>1.1327753661747728</v>
      </c>
      <c r="AN12" s="91">
        <f t="shared" si="28"/>
        <v>27.304308766187045</v>
      </c>
      <c r="AO12" s="38">
        <f t="shared" si="29"/>
        <v>89.787518496658677</v>
      </c>
      <c r="AP12" s="38">
        <f t="shared" si="30"/>
        <v>0</v>
      </c>
      <c r="AQ12" s="38">
        <f t="shared" si="31"/>
        <v>0</v>
      </c>
      <c r="AR12" s="38">
        <f t="shared" si="32"/>
        <v>9.3776805410604744</v>
      </c>
      <c r="AS12" s="38">
        <f t="shared" si="33"/>
        <v>0.83480096228084033</v>
      </c>
      <c r="AT12" s="38">
        <f t="shared" si="34"/>
        <v>0</v>
      </c>
      <c r="AU12" s="38">
        <f t="shared" si="35"/>
        <v>84.315651588582284</v>
      </c>
      <c r="AV12" s="91">
        <f>(((U12*3)+(V12*3)+(2*W12)+(2*X12)+(Y12)+(Z12)+(AB12)))/((Branco!$P$10*3))*100</f>
        <v>93.905759954508568</v>
      </c>
      <c r="AW12" s="151">
        <f t="shared" si="36"/>
        <v>7.1651695841325065</v>
      </c>
      <c r="AX12" s="186">
        <f t="shared" si="37"/>
        <v>4.3388675027289686E-2</v>
      </c>
      <c r="AY12" s="93">
        <f t="shared" si="9"/>
        <v>0</v>
      </c>
      <c r="AZ12" s="93">
        <f t="shared" si="10"/>
        <v>0</v>
      </c>
      <c r="BA12" s="93">
        <f t="shared" si="11"/>
        <v>0</v>
      </c>
      <c r="BB12" s="93">
        <f t="shared" si="12"/>
        <v>3.5360486905709951</v>
      </c>
      <c r="BC12" s="101">
        <f t="shared" si="13"/>
        <v>7.5874026837633908</v>
      </c>
      <c r="BD12" s="92">
        <f t="shared" si="38"/>
        <v>1.8570352911679984</v>
      </c>
      <c r="BE12" s="93">
        <f t="shared" si="39"/>
        <v>0</v>
      </c>
      <c r="BF12" s="99">
        <f t="shared" si="40"/>
        <v>0</v>
      </c>
      <c r="BG12" s="99">
        <f t="shared" si="41"/>
        <v>0</v>
      </c>
      <c r="BH12" s="99">
        <f t="shared" si="42"/>
        <v>99.044723822893573</v>
      </c>
      <c r="BI12" s="100">
        <f t="shared" si="43"/>
        <v>15.174805367526782</v>
      </c>
      <c r="BJ12" s="109">
        <f t="shared" si="14"/>
        <v>6.5121770099759456E-8</v>
      </c>
      <c r="BK12" s="1">
        <f t="shared" si="15"/>
        <v>2.5597899570381255</v>
      </c>
    </row>
    <row r="13" spans="2:63" x14ac:dyDescent="0.25">
      <c r="B13" s="5" t="s">
        <v>10</v>
      </c>
      <c r="C13" s="3" t="s">
        <v>15</v>
      </c>
      <c r="D13" s="29">
        <f>D9*1.37</f>
        <v>2.0478179971398413E-10</v>
      </c>
      <c r="E13" s="149">
        <f t="shared" si="44"/>
        <v>1.8401995872825689</v>
      </c>
      <c r="F13" s="149"/>
      <c r="G13" s="181">
        <f t="shared" si="16"/>
        <v>8.7704841568456732E-2</v>
      </c>
      <c r="H13" s="17">
        <v>6</v>
      </c>
      <c r="I13" s="17">
        <v>75</v>
      </c>
      <c r="J13" s="40">
        <v>5641</v>
      </c>
      <c r="K13" s="41">
        <v>99</v>
      </c>
      <c r="L13" s="41"/>
      <c r="M13" s="41"/>
      <c r="N13" s="41"/>
      <c r="O13" s="41">
        <v>64318</v>
      </c>
      <c r="P13" s="41">
        <v>48</v>
      </c>
      <c r="Q13" s="41">
        <v>64</v>
      </c>
      <c r="R13" s="41">
        <v>5</v>
      </c>
      <c r="S13" s="41">
        <v>0</v>
      </c>
      <c r="T13" s="42">
        <v>98</v>
      </c>
      <c r="U13" s="32">
        <f t="shared" si="8"/>
        <v>8.4319279721648495E-7</v>
      </c>
      <c r="V13" s="163">
        <f t="shared" si="4"/>
        <v>1.556088955912267E-8</v>
      </c>
      <c r="W13" s="163">
        <f t="shared" si="17"/>
        <v>0</v>
      </c>
      <c r="X13" s="163">
        <f t="shared" si="6"/>
        <v>0</v>
      </c>
      <c r="Y13" s="163">
        <f t="shared" si="7"/>
        <v>0</v>
      </c>
      <c r="Z13" s="163">
        <f t="shared" si="18"/>
        <v>4.3257290235361569E-9</v>
      </c>
      <c r="AA13" s="163">
        <f t="shared" si="19"/>
        <v>5.5980022657526735E-9</v>
      </c>
      <c r="AB13" s="163">
        <f t="shared" si="20"/>
        <v>4.3490973075768683E-10</v>
      </c>
      <c r="AC13" s="163">
        <f t="shared" si="2"/>
        <v>0</v>
      </c>
      <c r="AD13" s="33">
        <f t="shared" si="3"/>
        <v>9.8028263200000007E-9</v>
      </c>
      <c r="AE13" s="37">
        <f>((Branco!$P$10-U13)/(Branco!$P$10))*100</f>
        <v>6.6276028735061425</v>
      </c>
      <c r="AF13" s="38"/>
      <c r="AG13" s="39">
        <f t="shared" si="21"/>
        <v>43.560646356692594</v>
      </c>
      <c r="AH13" s="39">
        <f t="shared" si="22"/>
        <v>0</v>
      </c>
      <c r="AI13" s="39">
        <f t="shared" si="23"/>
        <v>0</v>
      </c>
      <c r="AJ13" s="39">
        <f t="shared" si="24"/>
        <v>0</v>
      </c>
      <c r="AK13" s="39">
        <f t="shared" si="25"/>
        <v>12.109304645676284</v>
      </c>
      <c r="AL13" s="39">
        <f t="shared" si="26"/>
        <v>18.58297823762468</v>
      </c>
      <c r="AM13" s="39">
        <f t="shared" si="27"/>
        <v>1.2174721057327595</v>
      </c>
      <c r="AN13" s="38">
        <f t="shared" si="28"/>
        <v>27.441712056317286</v>
      </c>
      <c r="AO13" s="38">
        <f t="shared" si="29"/>
        <v>90.745854044050418</v>
      </c>
      <c r="AP13" s="38">
        <f t="shared" si="30"/>
        <v>0</v>
      </c>
      <c r="AQ13" s="38">
        <f t="shared" si="31"/>
        <v>0</v>
      </c>
      <c r="AR13" s="38">
        <f t="shared" si="32"/>
        <v>8.4087303859350939</v>
      </c>
      <c r="AS13" s="38">
        <f t="shared" si="33"/>
        <v>0.84541557001448275</v>
      </c>
      <c r="AT13" s="38">
        <f t="shared" si="34"/>
        <v>0</v>
      </c>
      <c r="AU13" s="38">
        <f t="shared" si="35"/>
        <v>86.454740944290876</v>
      </c>
      <c r="AV13" s="38">
        <f>(((U13*3)+(V13*3)+(2*W13)+(2*X13)+(Y13)+(Z13)+(AB13)))/((Branco!$P$10*3))*100</f>
        <v>95.271284682960257</v>
      </c>
      <c r="AW13" s="151">
        <f t="shared" si="36"/>
        <v>5.7298768951061136</v>
      </c>
      <c r="AX13" s="186">
        <f t="shared" si="37"/>
        <v>3.4697262029735262E-2</v>
      </c>
      <c r="AY13" s="23">
        <f t="shared" si="9"/>
        <v>0</v>
      </c>
      <c r="AZ13" s="23">
        <f t="shared" si="10"/>
        <v>0</v>
      </c>
      <c r="BA13" s="23">
        <f t="shared" si="11"/>
        <v>0</v>
      </c>
      <c r="BB13" s="23">
        <f t="shared" si="12"/>
        <v>2.6243355114812799</v>
      </c>
      <c r="BC13" s="151">
        <f t="shared" si="13"/>
        <v>5.9471837196656354</v>
      </c>
      <c r="BD13" s="39">
        <f t="shared" si="38"/>
        <v>1.4850428148726691</v>
      </c>
      <c r="BE13" s="23">
        <f t="shared" si="39"/>
        <v>0</v>
      </c>
      <c r="BF13">
        <f t="shared" si="40"/>
        <v>0</v>
      </c>
      <c r="BG13">
        <f t="shared" si="41"/>
        <v>0</v>
      </c>
      <c r="BH13">
        <f t="shared" si="42"/>
        <v>73.507637676590647</v>
      </c>
      <c r="BI13" s="14">
        <f t="shared" si="43"/>
        <v>11.894367439331271</v>
      </c>
      <c r="BJ13" s="109">
        <f t="shared" si="14"/>
        <v>5.1443307431661855E-8</v>
      </c>
      <c r="BK13" s="1">
        <f t="shared" si="15"/>
        <v>1.9931373475076348</v>
      </c>
    </row>
    <row r="14" spans="2:63" x14ac:dyDescent="0.25">
      <c r="B14" s="5" t="s">
        <v>8</v>
      </c>
      <c r="C14" s="3" t="s">
        <v>16</v>
      </c>
      <c r="D14" s="29">
        <f>(38.3/33.5)*D18</f>
        <v>1.2722732422165167E-10</v>
      </c>
      <c r="E14" s="148">
        <f t="shared" si="44"/>
        <v>1.1432835820895522</v>
      </c>
      <c r="F14" s="148"/>
      <c r="G14" s="181">
        <f t="shared" si="16"/>
        <v>8.7960084556080578E-2</v>
      </c>
      <c r="H14" s="17">
        <v>7</v>
      </c>
      <c r="I14" s="17">
        <v>90</v>
      </c>
      <c r="J14" s="40">
        <v>5659</v>
      </c>
      <c r="K14" s="41">
        <v>83</v>
      </c>
      <c r="L14" s="41"/>
      <c r="M14" s="41"/>
      <c r="N14" s="41"/>
      <c r="O14" s="41">
        <v>64336</v>
      </c>
      <c r="P14" s="41">
        <v>34</v>
      </c>
      <c r="Q14" s="41">
        <v>42</v>
      </c>
      <c r="R14" s="41">
        <v>4</v>
      </c>
      <c r="S14" s="41">
        <v>0</v>
      </c>
      <c r="T14" s="42">
        <v>74</v>
      </c>
      <c r="U14" s="32">
        <f t="shared" si="8"/>
        <v>8.4588336100834753E-7</v>
      </c>
      <c r="V14" s="163">
        <f t="shared" si="4"/>
        <v>1.3045998317244258E-8</v>
      </c>
      <c r="W14" s="163">
        <f t="shared" si="17"/>
        <v>0</v>
      </c>
      <c r="X14" s="163">
        <f t="shared" si="6"/>
        <v>0</v>
      </c>
      <c r="Y14" s="163">
        <f t="shared" si="7"/>
        <v>0</v>
      </c>
      <c r="Z14" s="163">
        <f t="shared" si="18"/>
        <v>3.9440470508712021E-9</v>
      </c>
      <c r="AA14" s="163">
        <f t="shared" si="19"/>
        <v>3.6736889869001922E-9</v>
      </c>
      <c r="AB14" s="163">
        <f t="shared" si="20"/>
        <v>4.3490973075768683E-10</v>
      </c>
      <c r="AC14" s="163">
        <f t="shared" si="2"/>
        <v>0</v>
      </c>
      <c r="AD14" s="33">
        <f t="shared" si="3"/>
        <v>7.4021341600000003E-9</v>
      </c>
      <c r="AE14" s="37">
        <f>((Branco!$P$10-U14)/(Branco!$P$10))*100</f>
        <v>6.3296586883834864</v>
      </c>
      <c r="AF14" s="38"/>
      <c r="AG14" s="39">
        <f t="shared" si="21"/>
        <v>45.774182742462401</v>
      </c>
      <c r="AH14" s="39">
        <f t="shared" si="22"/>
        <v>0</v>
      </c>
      <c r="AI14" s="39">
        <f t="shared" si="23"/>
        <v>0</v>
      </c>
      <c r="AJ14" s="39">
        <f t="shared" si="24"/>
        <v>0</v>
      </c>
      <c r="AK14" s="39">
        <f t="shared" si="25"/>
        <v>13.838383699070054</v>
      </c>
      <c r="AL14" s="39">
        <f t="shared" si="26"/>
        <v>14.797099042076484</v>
      </c>
      <c r="AM14" s="39">
        <f t="shared" si="27"/>
        <v>1.5259573861713192</v>
      </c>
      <c r="AN14" s="38">
        <f t="shared" si="28"/>
        <v>25.971691355823719</v>
      </c>
      <c r="AO14" s="38">
        <f t="shared" si="29"/>
        <v>89.937354048923822</v>
      </c>
      <c r="AP14" s="38">
        <f t="shared" si="30"/>
        <v>0</v>
      </c>
      <c r="AQ14" s="38">
        <f t="shared" si="31"/>
        <v>0</v>
      </c>
      <c r="AR14" s="38">
        <f t="shared" si="32"/>
        <v>9.0632429289562424</v>
      </c>
      <c r="AS14" s="38">
        <f t="shared" si="33"/>
        <v>0.99940302211992782</v>
      </c>
      <c r="AT14" s="38">
        <f t="shared" si="34"/>
        <v>0</v>
      </c>
      <c r="AU14" s="38">
        <f t="shared" si="35"/>
        <v>85.68929744999609</v>
      </c>
      <c r="AV14" s="38">
        <f>(((U14*3)+(V14*3)+(2*W14)+(2*X14)+(Y14)+(Z14)+(AB14)))/((Branco!$P$10*3))*100</f>
        <v>95.276649347926224</v>
      </c>
      <c r="AW14" s="151">
        <f t="shared" si="36"/>
        <v>5.4238400610584474</v>
      </c>
      <c r="AX14" s="186">
        <f t="shared" si="37"/>
        <v>3.2844056382198256E-2</v>
      </c>
      <c r="AY14" s="23">
        <f t="shared" si="9"/>
        <v>0</v>
      </c>
      <c r="AZ14" s="23">
        <f t="shared" si="10"/>
        <v>0</v>
      </c>
      <c r="BA14" s="23">
        <f t="shared" si="11"/>
        <v>0</v>
      </c>
      <c r="BB14" s="23">
        <f t="shared" si="12"/>
        <v>2.8642395340751654</v>
      </c>
      <c r="BC14" s="151">
        <f t="shared" si="13"/>
        <v>5.3755660173772686</v>
      </c>
      <c r="BD14" s="39">
        <f t="shared" si="38"/>
        <v>1.4057256131580853</v>
      </c>
      <c r="BE14" s="23">
        <f t="shared" si="39"/>
        <v>0</v>
      </c>
      <c r="BF14">
        <f t="shared" si="40"/>
        <v>0</v>
      </c>
      <c r="BG14">
        <f t="shared" si="41"/>
        <v>0</v>
      </c>
      <c r="BH14">
        <f t="shared" si="42"/>
        <v>80.22734934944539</v>
      </c>
      <c r="BI14" s="14">
        <f t="shared" si="43"/>
        <v>10.751132034754537</v>
      </c>
      <c r="BJ14" s="109">
        <f t="shared" si="14"/>
        <v>4.3516951733361668E-8</v>
      </c>
      <c r="BK14" s="1">
        <f t="shared" si="15"/>
        <v>1.6859409386279733</v>
      </c>
    </row>
    <row r="15" spans="2:63" x14ac:dyDescent="0.25">
      <c r="B15" s="5" t="s">
        <v>9</v>
      </c>
      <c r="C15" s="3" t="s">
        <v>16</v>
      </c>
      <c r="D15" s="29">
        <f>(38.3/39.2)*D18</f>
        <v>1.0872743268942171E-10</v>
      </c>
      <c r="E15" s="148">
        <f t="shared" si="44"/>
        <v>0.9770408163265305</v>
      </c>
      <c r="F15" s="148"/>
      <c r="G15" s="181">
        <f t="shared" si="16"/>
        <v>9.0195167286245354E-2</v>
      </c>
      <c r="H15" s="17">
        <v>8</v>
      </c>
      <c r="I15" s="17">
        <v>105</v>
      </c>
      <c r="J15" s="40">
        <v>5823</v>
      </c>
      <c r="K15" s="41">
        <v>74</v>
      </c>
      <c r="L15" s="41"/>
      <c r="M15" s="41"/>
      <c r="N15" s="41"/>
      <c r="O15" s="41">
        <v>64560</v>
      </c>
      <c r="P15" s="41">
        <v>31</v>
      </c>
      <c r="Q15" s="41">
        <v>25</v>
      </c>
      <c r="R15" s="41">
        <v>4</v>
      </c>
      <c r="S15" s="41">
        <v>0</v>
      </c>
      <c r="T15" s="42">
        <v>59</v>
      </c>
      <c r="U15" s="32">
        <f t="shared" si="8"/>
        <v>8.7039738666753979E-7</v>
      </c>
      <c r="V15" s="163">
        <f t="shared" si="4"/>
        <v>1.1631371993687652E-8</v>
      </c>
      <c r="W15" s="163">
        <f t="shared" si="17"/>
        <v>0</v>
      </c>
      <c r="X15" s="163">
        <f t="shared" si="6"/>
        <v>0</v>
      </c>
      <c r="Y15" s="163">
        <f t="shared" si="7"/>
        <v>0</v>
      </c>
      <c r="Z15" s="163">
        <f t="shared" si="18"/>
        <v>2.671773808654685E-9</v>
      </c>
      <c r="AA15" s="163">
        <f t="shared" si="19"/>
        <v>2.1867196350596383E-9</v>
      </c>
      <c r="AB15" s="163">
        <f t="shared" si="20"/>
        <v>3.2618229806826512E-10</v>
      </c>
      <c r="AC15" s="163">
        <f t="shared" si="2"/>
        <v>0</v>
      </c>
      <c r="AD15" s="33">
        <f t="shared" si="3"/>
        <v>5.9017015600000003E-9</v>
      </c>
      <c r="AE15" s="37">
        <f>((Branco!$P$10-U15)/(Branco!$P$10))*100</f>
        <v>3.6150561128215313</v>
      </c>
      <c r="AF15" s="38"/>
      <c r="AG15" s="39">
        <f t="shared" si="21"/>
        <v>51.199490946080942</v>
      </c>
      <c r="AH15" s="39">
        <f t="shared" si="22"/>
        <v>0</v>
      </c>
      <c r="AI15" s="39">
        <f t="shared" si="23"/>
        <v>0</v>
      </c>
      <c r="AJ15" s="39">
        <f t="shared" si="24"/>
        <v>0</v>
      </c>
      <c r="AK15" s="39">
        <f t="shared" si="25"/>
        <v>11.760732869727628</v>
      </c>
      <c r="AL15" s="39">
        <f t="shared" si="26"/>
        <v>10.650803545796963</v>
      </c>
      <c r="AM15" s="39">
        <f t="shared" si="27"/>
        <v>1.435803757783803</v>
      </c>
      <c r="AN15" s="38">
        <f t="shared" si="28"/>
        <v>25.978372607434132</v>
      </c>
      <c r="AO15" s="38">
        <f t="shared" si="29"/>
        <v>92.088170581493983</v>
      </c>
      <c r="AP15" s="38">
        <f t="shared" si="30"/>
        <v>0</v>
      </c>
      <c r="AQ15" s="38">
        <f t="shared" si="31"/>
        <v>0</v>
      </c>
      <c r="AR15" s="38">
        <f t="shared" si="32"/>
        <v>7.0510100436442</v>
      </c>
      <c r="AS15" s="38">
        <f t="shared" si="33"/>
        <v>0.86081937486181015</v>
      </c>
      <c r="AT15" s="38">
        <f t="shared" si="34"/>
        <v>0</v>
      </c>
      <c r="AU15" s="38">
        <f t="shared" si="35"/>
        <v>90.047151421029653</v>
      </c>
      <c r="AV15" s="38">
        <f>(((U15*3)+(V15*3)+(2*W15)+(2*X15)+(Y15)+(Z15)+(AB15)))/((Branco!$P$10*3))*100</f>
        <v>97.783625032861167</v>
      </c>
      <c r="AW15" s="151">
        <f t="shared" si="36"/>
        <v>3.2552550518675929</v>
      </c>
      <c r="AX15" s="186">
        <f t="shared" si="37"/>
        <v>1.9712192700813272E-2</v>
      </c>
      <c r="AY15" s="23">
        <f t="shared" si="9"/>
        <v>0</v>
      </c>
      <c r="AZ15" s="23">
        <f t="shared" si="10"/>
        <v>0</v>
      </c>
      <c r="BA15" s="23">
        <f t="shared" si="11"/>
        <v>0</v>
      </c>
      <c r="BB15" s="23">
        <f t="shared" si="12"/>
        <v>1.3902506369727066</v>
      </c>
      <c r="BC15" s="151">
        <f t="shared" si="13"/>
        <v>3.0709352440071234</v>
      </c>
      <c r="BD15" s="39">
        <f t="shared" si="38"/>
        <v>0.84368184759480802</v>
      </c>
      <c r="BE15" s="23">
        <f t="shared" si="39"/>
        <v>0</v>
      </c>
      <c r="BF15">
        <f t="shared" si="40"/>
        <v>0</v>
      </c>
      <c r="BG15">
        <f t="shared" si="41"/>
        <v>0</v>
      </c>
      <c r="BH15">
        <f t="shared" si="42"/>
        <v>38.940920341605512</v>
      </c>
      <c r="BI15" s="14">
        <f t="shared" si="43"/>
        <v>6.1418704880142467</v>
      </c>
      <c r="BJ15" s="109">
        <f t="shared" si="14"/>
        <v>3.7892072087785908E-8</v>
      </c>
      <c r="BK15" s="1">
        <f t="shared" si="15"/>
        <v>1.4303838144808665</v>
      </c>
    </row>
    <row r="16" spans="2:63" x14ac:dyDescent="0.25">
      <c r="B16" s="5" t="s">
        <v>12</v>
      </c>
      <c r="C16" s="3" t="s">
        <v>16</v>
      </c>
      <c r="D16" s="29">
        <v>1.2679079497666798E-10</v>
      </c>
      <c r="E16" s="148">
        <f t="shared" si="44"/>
        <v>1.1393608656295069</v>
      </c>
      <c r="F16" s="148"/>
      <c r="G16" s="181">
        <f t="shared" si="16"/>
        <v>8.7836095903914099E-2</v>
      </c>
      <c r="H16" s="84">
        <v>9</v>
      </c>
      <c r="I16" s="84">
        <v>120</v>
      </c>
      <c r="J16" s="85">
        <v>5792</v>
      </c>
      <c r="K16" s="86">
        <v>66</v>
      </c>
      <c r="L16" s="86"/>
      <c r="M16" s="86"/>
      <c r="N16" s="86"/>
      <c r="O16" s="86">
        <v>65941</v>
      </c>
      <c r="P16" s="86">
        <v>21</v>
      </c>
      <c r="Q16" s="86">
        <v>25</v>
      </c>
      <c r="R16" s="86">
        <v>3</v>
      </c>
      <c r="S16" s="86">
        <v>0</v>
      </c>
      <c r="T16" s="87">
        <v>49</v>
      </c>
      <c r="U16" s="88">
        <f t="shared" si="8"/>
        <v>8.6576363791488754E-7</v>
      </c>
      <c r="V16" s="164">
        <f t="shared" si="4"/>
        <v>1.0373926372748446E-8</v>
      </c>
      <c r="W16" s="164">
        <f t="shared" si="17"/>
        <v>0</v>
      </c>
      <c r="X16" s="164">
        <f t="shared" si="6"/>
        <v>0</v>
      </c>
      <c r="Y16" s="164">
        <f t="shared" si="7"/>
        <v>0</v>
      </c>
      <c r="Z16" s="164">
        <f t="shared" si="18"/>
        <v>2.1628645117680784E-9</v>
      </c>
      <c r="AA16" s="164">
        <f t="shared" si="19"/>
        <v>2.1867196350596383E-9</v>
      </c>
      <c r="AB16" s="164">
        <f t="shared" si="20"/>
        <v>3.2618229806826512E-10</v>
      </c>
      <c r="AC16" s="164">
        <f t="shared" si="2"/>
        <v>0</v>
      </c>
      <c r="AD16" s="89">
        <f t="shared" si="3"/>
        <v>4.9014131600000004E-9</v>
      </c>
      <c r="AE16" s="90">
        <f>((Branco!$P$10-U16)/(Branco!$P$10))*100</f>
        <v>4.1281822094216629</v>
      </c>
      <c r="AF16" s="91"/>
      <c r="AG16" s="92">
        <f t="shared" si="21"/>
        <v>51.996748372609588</v>
      </c>
      <c r="AH16" s="92">
        <f t="shared" si="22"/>
        <v>0</v>
      </c>
      <c r="AI16" s="92">
        <f t="shared" si="23"/>
        <v>0</v>
      </c>
      <c r="AJ16" s="92">
        <f t="shared" si="24"/>
        <v>0</v>
      </c>
      <c r="AK16" s="92">
        <f t="shared" si="25"/>
        <v>10.840825136168425</v>
      </c>
      <c r="AL16" s="92">
        <f t="shared" si="26"/>
        <v>12.309570355479343</v>
      </c>
      <c r="AM16" s="92">
        <f t="shared" si="27"/>
        <v>1.6349083526184374</v>
      </c>
      <c r="AN16" s="91">
        <f t="shared" si="28"/>
        <v>24.567125078139131</v>
      </c>
      <c r="AO16" s="38">
        <f t="shared" si="29"/>
        <v>92.594508640869918</v>
      </c>
      <c r="AP16" s="38">
        <f t="shared" si="30"/>
        <v>0</v>
      </c>
      <c r="AQ16" s="38">
        <f t="shared" si="31"/>
        <v>0</v>
      </c>
      <c r="AR16" s="38">
        <f t="shared" si="32"/>
        <v>6.4350233951288178</v>
      </c>
      <c r="AS16" s="38">
        <f t="shared" si="33"/>
        <v>0.97046796400126978</v>
      </c>
      <c r="AT16" s="38">
        <f t="shared" si="34"/>
        <v>0</v>
      </c>
      <c r="AU16" s="38">
        <f t="shared" si="35"/>
        <v>89.920813095223863</v>
      </c>
      <c r="AV16" s="91">
        <f>(((U16*3)+(V16*3)+(2*W16)+(2*X16)+(Y16)+(Z16)+(AB16)))/((Branco!$P$10*3))*100</f>
        <v>97.112468563318316</v>
      </c>
      <c r="AW16" s="151">
        <f t="shared" si="36"/>
        <v>3.7120950087643365</v>
      </c>
      <c r="AX16" s="186">
        <f t="shared" si="37"/>
        <v>2.2478586461146529E-2</v>
      </c>
      <c r="AY16" s="93">
        <f t="shared" si="9"/>
        <v>0</v>
      </c>
      <c r="AZ16" s="93">
        <f t="shared" si="10"/>
        <v>0</v>
      </c>
      <c r="BA16" s="93">
        <f t="shared" si="11"/>
        <v>0</v>
      </c>
      <c r="BB16" s="93">
        <f t="shared" si="12"/>
        <v>1.4634061352710015</v>
      </c>
      <c r="BC16" s="101">
        <f t="shared" si="13"/>
        <v>3.316323353041891</v>
      </c>
      <c r="BD16" s="92">
        <f t="shared" si="38"/>
        <v>0.96208350053707137</v>
      </c>
      <c r="BE16" s="93">
        <f t="shared" si="39"/>
        <v>0</v>
      </c>
      <c r="BF16" s="99">
        <f t="shared" si="40"/>
        <v>0</v>
      </c>
      <c r="BG16" s="99">
        <f t="shared" si="41"/>
        <v>0</v>
      </c>
      <c r="BH16" s="99">
        <f t="shared" si="42"/>
        <v>40.990005848940754</v>
      </c>
      <c r="BI16" s="100">
        <f t="shared" si="43"/>
        <v>6.6326467060837819</v>
      </c>
      <c r="BJ16" s="109">
        <f t="shared" si="14"/>
        <v>3.3610825928081675E-8</v>
      </c>
      <c r="BK16" s="1">
        <f t="shared" si="15"/>
        <v>1.2775401460741176</v>
      </c>
    </row>
    <row r="17" spans="2:63" x14ac:dyDescent="0.25">
      <c r="B17" s="5" t="s">
        <v>68</v>
      </c>
      <c r="C17" s="3" t="s">
        <v>16</v>
      </c>
      <c r="D17" s="29">
        <f>D14*0.6875</f>
        <v>8.7468785402385524E-11</v>
      </c>
      <c r="E17" s="148">
        <f t="shared" si="44"/>
        <v>0.78600746268656707</v>
      </c>
      <c r="F17" s="148"/>
      <c r="G17" s="181">
        <f t="shared" si="16"/>
        <v>8.8873000823761636E-2</v>
      </c>
      <c r="H17" s="17">
        <v>10</v>
      </c>
      <c r="I17" s="17">
        <v>135</v>
      </c>
      <c r="J17" s="40">
        <v>5718</v>
      </c>
      <c r="K17" s="41">
        <v>60</v>
      </c>
      <c r="L17" s="41"/>
      <c r="M17" s="41"/>
      <c r="N17" s="41"/>
      <c r="O17" s="41">
        <v>64339</v>
      </c>
      <c r="P17" s="41">
        <v>17</v>
      </c>
      <c r="Q17" s="41">
        <v>24</v>
      </c>
      <c r="R17" s="41">
        <v>3</v>
      </c>
      <c r="S17" s="41">
        <v>0</v>
      </c>
      <c r="T17" s="42">
        <v>40</v>
      </c>
      <c r="U17" s="32">
        <f t="shared" si="8"/>
        <v>8.5470243121500817E-7</v>
      </c>
      <c r="V17" s="163">
        <f t="shared" si="4"/>
        <v>9.4308421570440421E-9</v>
      </c>
      <c r="W17" s="163">
        <f t="shared" si="17"/>
        <v>0</v>
      </c>
      <c r="X17" s="163">
        <f t="shared" si="6"/>
        <v>0</v>
      </c>
      <c r="Y17" s="163">
        <f t="shared" si="7"/>
        <v>0</v>
      </c>
      <c r="Z17" s="163">
        <f t="shared" si="18"/>
        <v>1.908409863324775E-9</v>
      </c>
      <c r="AA17" s="163">
        <f t="shared" si="19"/>
        <v>2.0992508496572528E-9</v>
      </c>
      <c r="AB17" s="163">
        <f t="shared" si="20"/>
        <v>3.2618229806826512E-10</v>
      </c>
      <c r="AC17" s="163">
        <f t="shared" si="2"/>
        <v>0</v>
      </c>
      <c r="AD17" s="33">
        <f t="shared" si="3"/>
        <v>4.0011535999999999E-9</v>
      </c>
      <c r="AE17" s="37">
        <f>((Branco!$P$10-U17)/(Branco!$P$10))*100</f>
        <v>5.3530638593703435</v>
      </c>
      <c r="AF17" s="38"/>
      <c r="AG17" s="39">
        <f t="shared" si="21"/>
        <v>53.08413680968944</v>
      </c>
      <c r="AH17" s="39">
        <f t="shared" si="22"/>
        <v>0</v>
      </c>
      <c r="AI17" s="39">
        <f t="shared" si="23"/>
        <v>0</v>
      </c>
      <c r="AJ17" s="39">
        <f t="shared" si="24"/>
        <v>0</v>
      </c>
      <c r="AK17" s="39">
        <f t="shared" si="25"/>
        <v>10.742019491655457</v>
      </c>
      <c r="AL17" s="39">
        <f t="shared" si="26"/>
        <v>13.399540861011406</v>
      </c>
      <c r="AM17" s="39">
        <f t="shared" si="27"/>
        <v>1.8360084335227438</v>
      </c>
      <c r="AN17" s="38">
        <f t="shared" si="28"/>
        <v>22.521613824311356</v>
      </c>
      <c r="AO17" s="38">
        <f t="shared" si="29"/>
        <v>92.679976815721517</v>
      </c>
      <c r="AP17" s="38">
        <f t="shared" si="30"/>
        <v>0</v>
      </c>
      <c r="AQ17" s="38">
        <f t="shared" si="31"/>
        <v>0</v>
      </c>
      <c r="AR17" s="38">
        <f t="shared" si="32"/>
        <v>6.2515230680548299</v>
      </c>
      <c r="AS17" s="38">
        <f t="shared" si="33"/>
        <v>1.0685001162236574</v>
      </c>
      <c r="AT17" s="38">
        <f t="shared" si="34"/>
        <v>0</v>
      </c>
      <c r="AU17" s="38">
        <f t="shared" si="35"/>
        <v>88.763098914624265</v>
      </c>
      <c r="AV17" s="38">
        <f>(((U17*3)+(V17*3)+(2*W17)+(2*X17)+(Y17)+(Z17)+(AB17)))/((Branco!$P$10*3))*100</f>
        <v>95.773760378808348</v>
      </c>
      <c r="AW17" s="151">
        <f t="shared" si="36"/>
        <v>4.7515453684559006</v>
      </c>
      <c r="AX17" s="186">
        <f t="shared" si="37"/>
        <v>2.8772976752135995E-2</v>
      </c>
      <c r="AY17" s="23"/>
      <c r="AZ17" s="23"/>
      <c r="BA17" s="23"/>
      <c r="BB17" s="23"/>
      <c r="BC17" s="151"/>
      <c r="BD17" s="39"/>
      <c r="BE17" s="23"/>
      <c r="BI17" s="14"/>
      <c r="BJ17" s="109"/>
      <c r="BK17" s="1"/>
    </row>
    <row r="18" spans="2:63" x14ac:dyDescent="0.25">
      <c r="B18" s="5" t="s">
        <v>13</v>
      </c>
      <c r="C18" s="3" t="s">
        <v>16</v>
      </c>
      <c r="D18" s="29">
        <v>1.1128238541580499E-10</v>
      </c>
      <c r="E18" s="148">
        <f t="shared" si="44"/>
        <v>1</v>
      </c>
      <c r="F18" s="148"/>
      <c r="G18" s="181">
        <f t="shared" si="16"/>
        <v>8.8780260707635006E-2</v>
      </c>
      <c r="H18" s="17">
        <v>11</v>
      </c>
      <c r="I18" s="17">
        <v>150</v>
      </c>
      <c r="J18" s="40">
        <v>5721</v>
      </c>
      <c r="K18" s="41">
        <v>57</v>
      </c>
      <c r="L18" s="41"/>
      <c r="M18" s="41"/>
      <c r="N18" s="41"/>
      <c r="O18" s="41">
        <v>64440</v>
      </c>
      <c r="P18" s="41">
        <v>15</v>
      </c>
      <c r="Q18" s="41">
        <v>19</v>
      </c>
      <c r="R18" s="41">
        <v>3</v>
      </c>
      <c r="S18" s="41">
        <v>0</v>
      </c>
      <c r="T18" s="42">
        <v>34</v>
      </c>
      <c r="U18" s="32">
        <f t="shared" si="8"/>
        <v>8.5515085851365192E-7</v>
      </c>
      <c r="V18" s="163">
        <f t="shared" si="4"/>
        <v>8.9593000491918395E-9</v>
      </c>
      <c r="W18" s="163">
        <f t="shared" si="17"/>
        <v>0</v>
      </c>
      <c r="X18" s="163">
        <f t="shared" si="6"/>
        <v>0</v>
      </c>
      <c r="Y18" s="163">
        <f t="shared" si="7"/>
        <v>0</v>
      </c>
      <c r="Z18" s="163">
        <f t="shared" si="18"/>
        <v>1.5267278906598201E-9</v>
      </c>
      <c r="AA18" s="163">
        <f t="shared" si="19"/>
        <v>1.6619069226453249E-9</v>
      </c>
      <c r="AB18" s="163">
        <f t="shared" si="20"/>
        <v>3.2618229806826512E-10</v>
      </c>
      <c r="AC18" s="163">
        <f t="shared" si="2"/>
        <v>0</v>
      </c>
      <c r="AD18" s="33">
        <f t="shared" si="3"/>
        <v>3.40098056E-9</v>
      </c>
      <c r="AE18" s="37">
        <f>((Branco!$P$10-U18)/(Branco!$P$10))*100</f>
        <v>5.3034064951832365</v>
      </c>
      <c r="AF18" s="38"/>
      <c r="AG18" s="39">
        <f t="shared" si="21"/>
        <v>56.436188342863524</v>
      </c>
      <c r="AH18" s="39">
        <f t="shared" si="22"/>
        <v>0</v>
      </c>
      <c r="AI18" s="39">
        <f t="shared" si="23"/>
        <v>0</v>
      </c>
      <c r="AJ18" s="39">
        <f t="shared" si="24"/>
        <v>0</v>
      </c>
      <c r="AK18" s="39">
        <f t="shared" si="25"/>
        <v>9.6171243637891717</v>
      </c>
      <c r="AL18" s="39">
        <f t="shared" si="26"/>
        <v>11.692708177030468</v>
      </c>
      <c r="AM18" s="39">
        <f t="shared" si="27"/>
        <v>2.0546789935391407</v>
      </c>
      <c r="AN18" s="38">
        <f t="shared" si="28"/>
        <v>21.423367716308487</v>
      </c>
      <c r="AO18" s="38">
        <f t="shared" si="29"/>
        <v>93.550790363936258</v>
      </c>
      <c r="AP18" s="38">
        <f t="shared" si="30"/>
        <v>0</v>
      </c>
      <c r="AQ18" s="38">
        <f t="shared" si="31"/>
        <v>0</v>
      </c>
      <c r="AR18" s="38">
        <f t="shared" si="32"/>
        <v>5.3139047342868757</v>
      </c>
      <c r="AS18" s="38">
        <f t="shared" si="33"/>
        <v>1.1353049017768517</v>
      </c>
      <c r="AT18" s="38">
        <f t="shared" si="34"/>
        <v>0</v>
      </c>
      <c r="AU18" s="38">
        <f t="shared" si="35"/>
        <v>89.581535092043055</v>
      </c>
      <c r="AV18" s="38">
        <f>(((U18*3)+(V18*3)+(2*W18)+(2*X18)+(Y18)+(Z18)+(AB18)))/((Branco!$P$10*3))*100</f>
        <v>95.757111985423322</v>
      </c>
      <c r="AW18" s="151">
        <f t="shared" si="36"/>
        <v>4.7508729505562615</v>
      </c>
      <c r="AX18" s="186">
        <f t="shared" si="37"/>
        <v>2.8768904926425882E-2</v>
      </c>
      <c r="AY18" s="23">
        <f t="shared" ref="AY18:AY32" si="45">(AH18/100)*(($AE18/100)*($C$26))/($C$5/1000)</f>
        <v>0</v>
      </c>
      <c r="AZ18" s="23">
        <f t="shared" ref="AZ18:AZ32" si="46">(AI18/100)*(($AE18/100)*($C$26))/($C$5/1000)</f>
        <v>0</v>
      </c>
      <c r="BA18" s="23">
        <f t="shared" ref="BA18:BA32" si="47">(AJ18/100)*(($AE18/100)*($C$26))/($C$5/1000)</f>
        <v>0</v>
      </c>
      <c r="BB18" s="23">
        <f t="shared" ref="BB18:BB32" si="48">(AK18/100)*(($AE18/100)*($C$26))/($C$5/1000)</f>
        <v>1.667799436007896</v>
      </c>
      <c r="BC18" s="151">
        <f t="shared" ref="BC18:BC32" si="49">(AN18/100)*(($AE18/100)*($C$26))/($C$5/1000)</f>
        <v>3.7152353700635099</v>
      </c>
      <c r="BD18" s="39">
        <f t="shared" si="38"/>
        <v>1.2313091308510276</v>
      </c>
      <c r="BE18" s="23">
        <f t="shared" si="39"/>
        <v>0</v>
      </c>
      <c r="BF18">
        <f t="shared" si="40"/>
        <v>0</v>
      </c>
      <c r="BG18">
        <f t="shared" si="41"/>
        <v>0</v>
      </c>
      <c r="BH18">
        <f t="shared" si="42"/>
        <v>46.715062202581173</v>
      </c>
      <c r="BI18" s="14">
        <f t="shared" si="43"/>
        <v>7.4304707401270198</v>
      </c>
      <c r="BJ18" s="109">
        <f t="shared" ref="BJ18:BJ32" si="50">V18*3+W18*2+X18*2+Y18+Z18+AB18</f>
        <v>2.8730810336303602E-8</v>
      </c>
      <c r="BK18" s="1">
        <f t="shared" ref="BK18:BK32" si="51">(BJ18/((3*U18)+BJ18))*100</f>
        <v>1.1075088404587821</v>
      </c>
    </row>
    <row r="19" spans="2:63" ht="15.75" thickBot="1" x14ac:dyDescent="0.3">
      <c r="B19" s="6" t="s">
        <v>11</v>
      </c>
      <c r="C19" s="7" t="s">
        <v>17</v>
      </c>
      <c r="D19" s="30">
        <f>0.00000000010002884</f>
        <v>1.0002884E-10</v>
      </c>
      <c r="E19" s="148">
        <f t="shared" si="44"/>
        <v>0.89887397386606804</v>
      </c>
      <c r="F19" s="148"/>
      <c r="G19" s="181">
        <f t="shared" si="16"/>
        <v>8.693856952791669E-2</v>
      </c>
      <c r="H19" s="17">
        <v>12</v>
      </c>
      <c r="I19" s="17">
        <v>165</v>
      </c>
      <c r="J19" s="40">
        <v>5685</v>
      </c>
      <c r="K19" s="41">
        <v>54</v>
      </c>
      <c r="L19" s="41"/>
      <c r="M19" s="41"/>
      <c r="N19" s="41"/>
      <c r="O19" s="41">
        <v>65391</v>
      </c>
      <c r="P19" s="41">
        <v>12</v>
      </c>
      <c r="Q19" s="41">
        <v>17</v>
      </c>
      <c r="R19" s="41">
        <v>3</v>
      </c>
      <c r="S19" s="41">
        <v>0</v>
      </c>
      <c r="T19" s="42">
        <v>29</v>
      </c>
      <c r="U19" s="32">
        <f t="shared" si="8"/>
        <v>8.4976973092992676E-7</v>
      </c>
      <c r="V19" s="163">
        <f t="shared" si="4"/>
        <v>8.4877579413396384E-9</v>
      </c>
      <c r="W19" s="163">
        <f t="shared" si="17"/>
        <v>0</v>
      </c>
      <c r="X19" s="163">
        <f t="shared" si="6"/>
        <v>0</v>
      </c>
      <c r="Y19" s="163">
        <f t="shared" si="7"/>
        <v>0</v>
      </c>
      <c r="Z19" s="163">
        <f t="shared" si="18"/>
        <v>1.5267278906598201E-9</v>
      </c>
      <c r="AA19" s="163">
        <f t="shared" si="19"/>
        <v>1.4869693518405539E-9</v>
      </c>
      <c r="AB19" s="163">
        <f t="shared" si="20"/>
        <v>3.2618229806826512E-10</v>
      </c>
      <c r="AC19" s="163">
        <f t="shared" si="2"/>
        <v>0</v>
      </c>
      <c r="AD19" s="33">
        <f t="shared" si="3"/>
        <v>2.90083636E-9</v>
      </c>
      <c r="AE19" s="37">
        <f>((Branco!$P$10-U19)/(Branco!$P$10))*100</f>
        <v>5.899294865428546</v>
      </c>
      <c r="AF19" s="38"/>
      <c r="AG19" s="39">
        <f t="shared" si="21"/>
        <v>57.628224298356315</v>
      </c>
      <c r="AH19" s="39">
        <f t="shared" si="22"/>
        <v>0</v>
      </c>
      <c r="AI19" s="39">
        <f t="shared" si="23"/>
        <v>0</v>
      </c>
      <c r="AJ19" s="39">
        <f t="shared" si="24"/>
        <v>0</v>
      </c>
      <c r="AK19" s="39">
        <f t="shared" si="25"/>
        <v>10.36582545515124</v>
      </c>
      <c r="AL19" s="39">
        <f t="shared" si="26"/>
        <v>11.22961029810404</v>
      </c>
      <c r="AM19" s="39">
        <f t="shared" si="27"/>
        <v>2.214637453747236</v>
      </c>
      <c r="AN19" s="38">
        <f t="shared" si="28"/>
        <v>19.695430708821878</v>
      </c>
      <c r="AO19" s="38">
        <f t="shared" si="29"/>
        <v>93.216804412126407</v>
      </c>
      <c r="AP19" s="38">
        <f t="shared" si="30"/>
        <v>0</v>
      </c>
      <c r="AQ19" s="38">
        <f t="shared" si="31"/>
        <v>0</v>
      </c>
      <c r="AR19" s="38">
        <f t="shared" si="32"/>
        <v>5.5890965222205926</v>
      </c>
      <c r="AS19" s="38">
        <f t="shared" si="33"/>
        <v>1.1940990656529964</v>
      </c>
      <c r="AT19" s="38">
        <f t="shared" si="34"/>
        <v>0</v>
      </c>
      <c r="AU19" s="38">
        <f t="shared" si="35"/>
        <v>88.657576654153402</v>
      </c>
      <c r="AV19" s="38">
        <f>(((U19*3)+(V19*3)+(2*W19)+(2*X19)+(Y19)+(Z19)+(AB19)))/((Branco!$P$10*3))*100</f>
        <v>95.109006593043105</v>
      </c>
      <c r="AW19" s="151">
        <f t="shared" si="36"/>
        <v>5.2301718673718494</v>
      </c>
      <c r="AX19" s="186">
        <f t="shared" si="37"/>
        <v>3.1671298889116899E-2</v>
      </c>
      <c r="AY19" s="23">
        <f t="shared" si="45"/>
        <v>0</v>
      </c>
      <c r="AZ19" s="23">
        <f t="shared" si="46"/>
        <v>0</v>
      </c>
      <c r="BA19" s="23">
        <f t="shared" si="47"/>
        <v>0</v>
      </c>
      <c r="BB19" s="23">
        <f t="shared" si="48"/>
        <v>1.9996209128489735</v>
      </c>
      <c r="BC19" s="151">
        <f t="shared" si="49"/>
        <v>3.7993496324363392</v>
      </c>
      <c r="BD19" s="39">
        <f t="shared" si="38"/>
        <v>1.3555315924542031</v>
      </c>
      <c r="BE19" s="23">
        <f t="shared" si="39"/>
        <v>0</v>
      </c>
      <c r="BF19">
        <f t="shared" si="40"/>
        <v>0</v>
      </c>
      <c r="BG19">
        <f t="shared" si="41"/>
        <v>0</v>
      </c>
      <c r="BH19">
        <f t="shared" si="42"/>
        <v>56.00938176889975</v>
      </c>
      <c r="BI19" s="14">
        <f t="shared" si="43"/>
        <v>7.5986992648726783</v>
      </c>
      <c r="BJ19" s="109">
        <f t="shared" si="50"/>
        <v>2.7316184012746999E-8</v>
      </c>
      <c r="BK19" s="1">
        <f t="shared" si="51"/>
        <v>1.0601534960679897</v>
      </c>
    </row>
    <row r="20" spans="2:63" ht="15.75" thickBot="1" x14ac:dyDescent="0.3">
      <c r="B20" s="5"/>
      <c r="C20" s="3"/>
      <c r="G20" s="181">
        <f t="shared" si="16"/>
        <v>9.0162430026612825E-2</v>
      </c>
      <c r="H20" s="84">
        <v>13</v>
      </c>
      <c r="I20" s="84">
        <v>180</v>
      </c>
      <c r="J20" s="85">
        <v>5895</v>
      </c>
      <c r="K20" s="86">
        <v>54</v>
      </c>
      <c r="L20" s="86"/>
      <c r="M20" s="86"/>
      <c r="N20" s="86"/>
      <c r="O20" s="86">
        <v>65382</v>
      </c>
      <c r="P20" s="86">
        <v>12</v>
      </c>
      <c r="Q20" s="86">
        <v>15</v>
      </c>
      <c r="R20" s="86">
        <v>3</v>
      </c>
      <c r="S20" s="86">
        <v>0</v>
      </c>
      <c r="T20" s="87">
        <v>26</v>
      </c>
      <c r="U20" s="88">
        <f t="shared" si="8"/>
        <v>8.8115964183499E-7</v>
      </c>
      <c r="V20" s="164">
        <f t="shared" si="4"/>
        <v>8.4877579413396384E-9</v>
      </c>
      <c r="W20" s="164">
        <f t="shared" si="17"/>
        <v>0</v>
      </c>
      <c r="X20" s="164">
        <f t="shared" si="6"/>
        <v>0</v>
      </c>
      <c r="Y20" s="164">
        <f t="shared" si="7"/>
        <v>0</v>
      </c>
      <c r="Z20" s="164">
        <f t="shared" si="18"/>
        <v>1.3995005664381684E-9</v>
      </c>
      <c r="AA20" s="164">
        <f t="shared" si="19"/>
        <v>1.3120317810357829E-9</v>
      </c>
      <c r="AB20" s="164">
        <f t="shared" si="20"/>
        <v>3.2618229806826512E-10</v>
      </c>
      <c r="AC20" s="164">
        <f t="shared" si="2"/>
        <v>0</v>
      </c>
      <c r="AD20" s="89">
        <f t="shared" si="3"/>
        <v>2.6007498400000003E-9</v>
      </c>
      <c r="AE20" s="90">
        <f>((Branco!$P$10-U20)/(Branco!$P$10))*100</f>
        <v>2.4232793723309225</v>
      </c>
      <c r="AF20" s="91"/>
      <c r="AG20" s="92">
        <f t="shared" si="21"/>
        <v>60.085121732103296</v>
      </c>
      <c r="AH20" s="92">
        <f t="shared" si="22"/>
        <v>0</v>
      </c>
      <c r="AI20" s="92">
        <f t="shared" si="23"/>
        <v>0</v>
      </c>
      <c r="AJ20" s="92">
        <f t="shared" si="24"/>
        <v>0</v>
      </c>
      <c r="AK20" s="92">
        <f t="shared" si="25"/>
        <v>9.907111215911149</v>
      </c>
      <c r="AL20" s="92">
        <f t="shared" si="26"/>
        <v>10.23889699550474</v>
      </c>
      <c r="AM20" s="92">
        <f t="shared" si="27"/>
        <v>2.3090553738382895</v>
      </c>
      <c r="AN20" s="91">
        <f t="shared" si="28"/>
        <v>18.410794913230568</v>
      </c>
      <c r="AO20" s="38">
        <f t="shared" si="29"/>
        <v>93.653000796331654</v>
      </c>
      <c r="AP20" s="38">
        <f t="shared" si="30"/>
        <v>0</v>
      </c>
      <c r="AQ20" s="38">
        <f t="shared" si="31"/>
        <v>0</v>
      </c>
      <c r="AR20" s="38">
        <f t="shared" si="32"/>
        <v>5.1473125006992433</v>
      </c>
      <c r="AS20" s="38">
        <f t="shared" si="33"/>
        <v>1.1996867029690956</v>
      </c>
      <c r="AT20" s="38">
        <f t="shared" si="34"/>
        <v>0</v>
      </c>
      <c r="AU20" s="38">
        <f t="shared" si="35"/>
        <v>92.323433344893388</v>
      </c>
      <c r="AV20" s="91">
        <f>(((U20*3)+(V20*3)+(2*W20)+(2*X20)+(Y20)+(Z20)+(AB20)))/((Branco!$P$10*3))*100</f>
        <v>98.580325840994988</v>
      </c>
      <c r="AW20" s="151">
        <f t="shared" si="36"/>
        <v>2.23725471607449</v>
      </c>
      <c r="AX20" s="186">
        <f t="shared" si="37"/>
        <v>1.3547693001432267E-2</v>
      </c>
      <c r="AY20" s="93">
        <f t="shared" si="45"/>
        <v>0</v>
      </c>
      <c r="AZ20" s="93">
        <f t="shared" si="46"/>
        <v>0</v>
      </c>
      <c r="BA20" s="93">
        <f t="shared" si="47"/>
        <v>0</v>
      </c>
      <c r="BB20" s="93">
        <f t="shared" si="48"/>
        <v>0.78504436054405746</v>
      </c>
      <c r="BC20" s="101">
        <f t="shared" si="49"/>
        <v>1.4588804349498381</v>
      </c>
      <c r="BD20" s="92">
        <f t="shared" si="38"/>
        <v>0.57984126046130102</v>
      </c>
      <c r="BE20" s="93">
        <f t="shared" si="39"/>
        <v>0</v>
      </c>
      <c r="BF20" s="99">
        <f t="shared" si="40"/>
        <v>0</v>
      </c>
      <c r="BG20" s="99">
        <f t="shared" si="41"/>
        <v>0</v>
      </c>
      <c r="BH20" s="99">
        <f t="shared" si="42"/>
        <v>21.989092538839049</v>
      </c>
      <c r="BI20" s="100">
        <f t="shared" si="43"/>
        <v>2.9177608698996762</v>
      </c>
      <c r="BJ20" s="109">
        <f t="shared" si="50"/>
        <v>2.7188956688525348E-8</v>
      </c>
      <c r="BK20" s="1">
        <f t="shared" si="51"/>
        <v>1.0180583242793293</v>
      </c>
    </row>
    <row r="21" spans="2:63" x14ac:dyDescent="0.25">
      <c r="B21" s="224" t="s">
        <v>20</v>
      </c>
      <c r="C21" s="24">
        <v>3</v>
      </c>
      <c r="D21" s="13" t="s">
        <v>21</v>
      </c>
      <c r="G21" s="181">
        <f t="shared" si="16"/>
        <v>8.9076935020572942E-2</v>
      </c>
      <c r="H21" s="17">
        <v>14</v>
      </c>
      <c r="I21" s="17">
        <v>195</v>
      </c>
      <c r="J21" s="40">
        <v>5737</v>
      </c>
      <c r="K21" s="41">
        <v>51</v>
      </c>
      <c r="L21" s="41"/>
      <c r="M21" s="41"/>
      <c r="N21" s="41"/>
      <c r="O21" s="41">
        <v>64405</v>
      </c>
      <c r="P21" s="41">
        <v>11</v>
      </c>
      <c r="Q21" s="41">
        <v>17</v>
      </c>
      <c r="R21" s="41">
        <v>3</v>
      </c>
      <c r="S21" s="41">
        <v>0</v>
      </c>
      <c r="T21" s="42">
        <v>23</v>
      </c>
      <c r="U21" s="32">
        <f t="shared" si="8"/>
        <v>8.5754247077308533E-7</v>
      </c>
      <c r="V21" s="163">
        <f t="shared" si="4"/>
        <v>8.0162158334874357E-9</v>
      </c>
      <c r="W21" s="163">
        <f t="shared" si="17"/>
        <v>0</v>
      </c>
      <c r="X21" s="163">
        <f t="shared" si="6"/>
        <v>0</v>
      </c>
      <c r="Y21" s="163">
        <f t="shared" si="7"/>
        <v>0</v>
      </c>
      <c r="Z21" s="163">
        <f t="shared" si="18"/>
        <v>1.5267278906598201E-9</v>
      </c>
      <c r="AA21" s="163">
        <f t="shared" si="19"/>
        <v>1.4869693518405539E-9</v>
      </c>
      <c r="AB21" s="163">
        <f t="shared" si="20"/>
        <v>3.2618229806826512E-10</v>
      </c>
      <c r="AC21" s="163">
        <f t="shared" si="2"/>
        <v>0</v>
      </c>
      <c r="AD21" s="33">
        <f t="shared" si="3"/>
        <v>2.3006633200000001E-9</v>
      </c>
      <c r="AE21" s="37">
        <f>((Branco!$P$10-U21)/(Branco!$P$10))*100</f>
        <v>5.0385672195186526</v>
      </c>
      <c r="AF21" s="38"/>
      <c r="AG21" s="39">
        <f t="shared" si="21"/>
        <v>58.697792156028846</v>
      </c>
      <c r="AH21" s="39">
        <f t="shared" si="22"/>
        <v>0</v>
      </c>
      <c r="AI21" s="39">
        <f t="shared" si="23"/>
        <v>0</v>
      </c>
      <c r="AJ21" s="39">
        <f t="shared" si="24"/>
        <v>0</v>
      </c>
      <c r="AK21" s="39">
        <f t="shared" si="25"/>
        <v>11.179284373855916</v>
      </c>
      <c r="AL21" s="39">
        <f t="shared" si="26"/>
        <v>12.218529918857657</v>
      </c>
      <c r="AM21" s="39">
        <f t="shared" si="27"/>
        <v>2.3884312916082471</v>
      </c>
      <c r="AN21" s="38">
        <f t="shared" si="28"/>
        <v>16.846335001886896</v>
      </c>
      <c r="AO21" s="38">
        <f t="shared" si="29"/>
        <v>92.846336845982933</v>
      </c>
      <c r="AP21" s="38">
        <f t="shared" si="30"/>
        <v>0</v>
      </c>
      <c r="AQ21" s="38">
        <f t="shared" si="31"/>
        <v>0</v>
      </c>
      <c r="AR21" s="38">
        <f t="shared" si="32"/>
        <v>5.8943477800834199</v>
      </c>
      <c r="AS21" s="38">
        <f t="shared" si="33"/>
        <v>1.2593153739336389</v>
      </c>
      <c r="AT21" s="38">
        <f t="shared" si="34"/>
        <v>0</v>
      </c>
      <c r="AU21" s="38">
        <f t="shared" si="35"/>
        <v>89.055901129430623</v>
      </c>
      <c r="AV21" s="38">
        <f>(((U21*3)+(V21*3)+(2*W21)+(2*X21)+(Y21)+(Z21)+(AB21)))/((Branco!$P$10*3))*100</f>
        <v>95.917517216818112</v>
      </c>
      <c r="AW21" s="151">
        <f t="shared" si="36"/>
        <v>4.4871414413544333</v>
      </c>
      <c r="AX21" s="186">
        <f t="shared" si="37"/>
        <v>2.7171879118054847E-2</v>
      </c>
      <c r="AY21" s="23">
        <f t="shared" si="45"/>
        <v>0</v>
      </c>
      <c r="AZ21" s="23">
        <f t="shared" si="46"/>
        <v>0</v>
      </c>
      <c r="BA21" s="23">
        <f t="shared" si="47"/>
        <v>0</v>
      </c>
      <c r="BB21" s="23">
        <f t="shared" si="48"/>
        <v>1.8418944312662624</v>
      </c>
      <c r="BC21" s="151">
        <f t="shared" si="49"/>
        <v>2.7755954307582327</v>
      </c>
      <c r="BD21" s="39">
        <f t="shared" si="38"/>
        <v>1.1629564262527474</v>
      </c>
      <c r="BE21" s="23">
        <f t="shared" si="39"/>
        <v>0</v>
      </c>
      <c r="BF21">
        <f t="shared" si="40"/>
        <v>0</v>
      </c>
      <c r="BG21">
        <f t="shared" si="41"/>
        <v>0</v>
      </c>
      <c r="BH21">
        <f t="shared" si="42"/>
        <v>51.591463019768014</v>
      </c>
      <c r="BI21" s="14">
        <f t="shared" si="43"/>
        <v>5.5511908615164653</v>
      </c>
      <c r="BJ21" s="109">
        <f t="shared" si="50"/>
        <v>2.5901557689190389E-8</v>
      </c>
      <c r="BK21" s="1">
        <f t="shared" si="51"/>
        <v>0.99677771493562362</v>
      </c>
    </row>
    <row r="22" spans="2:63" x14ac:dyDescent="0.25">
      <c r="B22" s="229"/>
      <c r="C22" s="23">
        <f>(C21/1000)*60</f>
        <v>0.18</v>
      </c>
      <c r="D22" s="14" t="s">
        <v>22</v>
      </c>
      <c r="G22" s="181">
        <f t="shared" si="16"/>
        <v>8.9589993482106833E-2</v>
      </c>
      <c r="H22" s="17">
        <v>15</v>
      </c>
      <c r="I22" s="17">
        <v>210</v>
      </c>
      <c r="J22" s="40">
        <v>5773</v>
      </c>
      <c r="K22" s="41">
        <v>51</v>
      </c>
      <c r="L22" s="41"/>
      <c r="M22" s="41"/>
      <c r="N22" s="41"/>
      <c r="O22" s="41">
        <v>64438</v>
      </c>
      <c r="P22" s="41">
        <v>12</v>
      </c>
      <c r="Q22" s="41">
        <v>15</v>
      </c>
      <c r="R22" s="41">
        <v>3</v>
      </c>
      <c r="S22" s="41">
        <v>0</v>
      </c>
      <c r="T22" s="42">
        <v>20</v>
      </c>
      <c r="U22" s="32">
        <f t="shared" si="8"/>
        <v>8.6292359835681038E-7</v>
      </c>
      <c r="V22" s="163">
        <f t="shared" si="4"/>
        <v>8.0162158334874357E-9</v>
      </c>
      <c r="W22" s="163">
        <f t="shared" si="17"/>
        <v>0</v>
      </c>
      <c r="X22" s="163">
        <f t="shared" si="6"/>
        <v>0</v>
      </c>
      <c r="Y22" s="163">
        <f t="shared" si="7"/>
        <v>0</v>
      </c>
      <c r="Z22" s="163">
        <f t="shared" si="18"/>
        <v>1.2722732422165166E-9</v>
      </c>
      <c r="AA22" s="163">
        <f t="shared" si="19"/>
        <v>1.3120317810357829E-9</v>
      </c>
      <c r="AB22" s="163">
        <f t="shared" si="20"/>
        <v>2.1745486537884341E-10</v>
      </c>
      <c r="AC22" s="163">
        <f t="shared" si="2"/>
        <v>0</v>
      </c>
      <c r="AD22" s="33">
        <f t="shared" si="3"/>
        <v>2.0005767999999999E-9</v>
      </c>
      <c r="AE22" s="37">
        <f>((Branco!$P$10-U22)/(Branco!$P$10))*100</f>
        <v>4.4426788492733538</v>
      </c>
      <c r="AF22" s="38"/>
      <c r="AG22" s="39">
        <f t="shared" si="21"/>
        <v>62.536045467343918</v>
      </c>
      <c r="AH22" s="39">
        <f t="shared" si="22"/>
        <v>0</v>
      </c>
      <c r="AI22" s="39">
        <f t="shared" si="23"/>
        <v>0</v>
      </c>
      <c r="AJ22" s="39">
        <f t="shared" si="24"/>
        <v>0</v>
      </c>
      <c r="AK22" s="39">
        <f t="shared" si="25"/>
        <v>9.9252488923471862</v>
      </c>
      <c r="AL22" s="39">
        <f t="shared" si="26"/>
        <v>11.402506548754692</v>
      </c>
      <c r="AM22" s="39">
        <f t="shared" si="27"/>
        <v>1.6964073361919936</v>
      </c>
      <c r="AN22" s="38">
        <f t="shared" si="28"/>
        <v>15.606885383883856</v>
      </c>
      <c r="AO22" s="38">
        <f t="shared" si="29"/>
        <v>94.166707661996583</v>
      </c>
      <c r="AP22" s="38">
        <f t="shared" si="30"/>
        <v>0</v>
      </c>
      <c r="AQ22" s="38">
        <f t="shared" si="31"/>
        <v>0</v>
      </c>
      <c r="AR22" s="38">
        <f t="shared" si="32"/>
        <v>4.9818095784255716</v>
      </c>
      <c r="AS22" s="38">
        <f t="shared" si="33"/>
        <v>0.85148275957784014</v>
      </c>
      <c r="AT22" s="38">
        <f t="shared" si="34"/>
        <v>0</v>
      </c>
      <c r="AU22" s="38">
        <f t="shared" si="35"/>
        <v>90.870872633933274</v>
      </c>
      <c r="AV22" s="38">
        <f>(((U22*3)+(V22*3)+(2*W22)+(2*X22)+(Y22)+(Z22)+(AB22)))/((Branco!$P$10*3))*100</f>
        <v>96.499999724007097</v>
      </c>
      <c r="AW22" s="151">
        <f t="shared" si="36"/>
        <v>4.0371010386578821</v>
      </c>
      <c r="AX22" s="186">
        <f t="shared" si="37"/>
        <v>2.4446660049270538E-2</v>
      </c>
      <c r="AY22" s="23">
        <f t="shared" si="45"/>
        <v>0</v>
      </c>
      <c r="AZ22" s="23">
        <f t="shared" si="46"/>
        <v>0</v>
      </c>
      <c r="BA22" s="23">
        <f t="shared" si="47"/>
        <v>0</v>
      </c>
      <c r="BB22" s="23">
        <f t="shared" si="48"/>
        <v>1.441882931383911</v>
      </c>
      <c r="BC22" s="151">
        <f t="shared" si="49"/>
        <v>2.2672783212961267</v>
      </c>
      <c r="BD22" s="39">
        <f t="shared" si="38"/>
        <v>1.0463170501087788</v>
      </c>
      <c r="BE22" s="23">
        <f t="shared" si="39"/>
        <v>0</v>
      </c>
      <c r="BF22">
        <f t="shared" si="40"/>
        <v>0</v>
      </c>
      <c r="BG22">
        <f t="shared" si="41"/>
        <v>0</v>
      </c>
      <c r="BH22">
        <f t="shared" si="42"/>
        <v>40.387140908063351</v>
      </c>
      <c r="BI22" s="14">
        <f t="shared" si="43"/>
        <v>4.5345566425922534</v>
      </c>
      <c r="BJ22" s="109">
        <f t="shared" si="50"/>
        <v>2.5538375608057666E-8</v>
      </c>
      <c r="BK22" s="1">
        <f t="shared" si="51"/>
        <v>0.97686899064924737</v>
      </c>
    </row>
    <row r="23" spans="2:63" ht="18.75" thickBot="1" x14ac:dyDescent="0.4">
      <c r="B23" s="225"/>
      <c r="C23" s="25">
        <f>(1*C22)/(0.082057*298)</f>
        <v>7.3610642070461238E-3</v>
      </c>
      <c r="D23" s="15" t="s">
        <v>23</v>
      </c>
      <c r="G23" s="181">
        <f t="shared" si="16"/>
        <v>8.8864047042969588E-2</v>
      </c>
      <c r="H23" s="17">
        <v>16</v>
      </c>
      <c r="I23" s="17">
        <v>225</v>
      </c>
      <c r="J23" s="40">
        <v>5803</v>
      </c>
      <c r="K23" s="41">
        <v>50</v>
      </c>
      <c r="L23" s="41"/>
      <c r="M23" s="41"/>
      <c r="N23" s="41"/>
      <c r="O23" s="41">
        <v>65302</v>
      </c>
      <c r="P23" s="41">
        <v>10</v>
      </c>
      <c r="Q23" s="41">
        <v>15</v>
      </c>
      <c r="R23" s="41">
        <v>2</v>
      </c>
      <c r="S23" s="41">
        <v>0</v>
      </c>
      <c r="T23" s="42">
        <v>19</v>
      </c>
      <c r="U23" s="32">
        <f t="shared" si="8"/>
        <v>8.6740787134324805E-7</v>
      </c>
      <c r="V23" s="163">
        <f t="shared" si="4"/>
        <v>7.8590351308700354E-9</v>
      </c>
      <c r="W23" s="163">
        <f t="shared" si="17"/>
        <v>0</v>
      </c>
      <c r="X23" s="163">
        <f t="shared" si="6"/>
        <v>0</v>
      </c>
      <c r="Y23" s="163">
        <f t="shared" si="7"/>
        <v>0</v>
      </c>
      <c r="Z23" s="163">
        <f t="shared" si="18"/>
        <v>1.1450459179948651E-9</v>
      </c>
      <c r="AA23" s="163">
        <f t="shared" si="19"/>
        <v>1.3120317810357829E-9</v>
      </c>
      <c r="AB23" s="163">
        <f t="shared" si="20"/>
        <v>2.1745486537884341E-10</v>
      </c>
      <c r="AC23" s="163">
        <f t="shared" si="2"/>
        <v>0</v>
      </c>
      <c r="AD23" s="33">
        <f t="shared" si="3"/>
        <v>1.90054796E-9</v>
      </c>
      <c r="AE23" s="37">
        <f>((Branco!$P$10-U23)/(Branco!$P$10))*100</f>
        <v>3.9461052074022578</v>
      </c>
      <c r="AF23" s="38"/>
      <c r="AG23" s="39">
        <f t="shared" si="21"/>
        <v>63.205420865882708</v>
      </c>
      <c r="AH23" s="39">
        <f t="shared" si="22"/>
        <v>0</v>
      </c>
      <c r="AI23" s="39">
        <f t="shared" si="23"/>
        <v>0</v>
      </c>
      <c r="AJ23" s="39">
        <f t="shared" si="24"/>
        <v>0</v>
      </c>
      <c r="AK23" s="39">
        <f t="shared" si="25"/>
        <v>9.2089051585158632</v>
      </c>
      <c r="AL23" s="39">
        <f t="shared" si="26"/>
        <v>11.796636276715684</v>
      </c>
      <c r="AM23" s="39">
        <f t="shared" si="27"/>
        <v>1.7488567052737041</v>
      </c>
      <c r="AN23" s="38">
        <f t="shared" si="28"/>
        <v>15.284946776194952</v>
      </c>
      <c r="AO23" s="38">
        <f t="shared" si="29"/>
        <v>94.536799122811459</v>
      </c>
      <c r="AP23" s="38">
        <f t="shared" si="30"/>
        <v>0</v>
      </c>
      <c r="AQ23" s="38">
        <f t="shared" si="31"/>
        <v>0</v>
      </c>
      <c r="AR23" s="38">
        <f t="shared" si="32"/>
        <v>4.5912750582946824</v>
      </c>
      <c r="AS23" s="38">
        <f t="shared" si="33"/>
        <v>0.87192581889383136</v>
      </c>
      <c r="AT23" s="38">
        <f t="shared" si="34"/>
        <v>0</v>
      </c>
      <c r="AU23" s="38">
        <f t="shared" si="35"/>
        <v>91.676561271963095</v>
      </c>
      <c r="AV23" s="38">
        <f>(((U23*3)+(V23*3)+(2*W23)+(2*X23)+(Y23)+(Z23)+(AB23)))/((Branco!$P$10*3))*100</f>
        <v>96.974471446687474</v>
      </c>
      <c r="AW23" s="151">
        <f t="shared" si="36"/>
        <v>3.6176535583202569</v>
      </c>
      <c r="AX23" s="186">
        <f t="shared" si="37"/>
        <v>2.1906696381740941E-2</v>
      </c>
      <c r="AY23" s="23">
        <f t="shared" si="45"/>
        <v>0</v>
      </c>
      <c r="AZ23" s="23">
        <f t="shared" si="46"/>
        <v>0</v>
      </c>
      <c r="BA23" s="23">
        <f t="shared" si="47"/>
        <v>0</v>
      </c>
      <c r="BB23" s="23">
        <f t="shared" si="48"/>
        <v>1.1882842322956708</v>
      </c>
      <c r="BC23" s="151">
        <f t="shared" si="49"/>
        <v>1.9723149422203619</v>
      </c>
      <c r="BD23" s="39">
        <f t="shared" si="38"/>
        <v>0.93760660513851224</v>
      </c>
      <c r="BE23" s="23">
        <f t="shared" si="39"/>
        <v>0</v>
      </c>
      <c r="BF23">
        <f t="shared" si="40"/>
        <v>0</v>
      </c>
      <c r="BG23">
        <f t="shared" si="41"/>
        <v>0</v>
      </c>
      <c r="BH23">
        <f t="shared" si="42"/>
        <v>33.28384134660174</v>
      </c>
      <c r="BI23" s="14">
        <f t="shared" si="43"/>
        <v>3.9446298844407237</v>
      </c>
      <c r="BJ23" s="109">
        <f t="shared" si="50"/>
        <v>2.4939606175983814E-8</v>
      </c>
      <c r="BK23" s="1">
        <f t="shared" si="51"/>
        <v>0.94929793414323327</v>
      </c>
    </row>
    <row r="24" spans="2:63" x14ac:dyDescent="0.25">
      <c r="B24" s="224" t="s">
        <v>83</v>
      </c>
      <c r="C24" s="24">
        <v>27</v>
      </c>
      <c r="D24" s="13" t="s">
        <v>21</v>
      </c>
      <c r="G24" s="181">
        <f t="shared" si="16"/>
        <v>8.8577307018212301E-2</v>
      </c>
      <c r="H24" s="84">
        <v>17</v>
      </c>
      <c r="I24" s="84">
        <v>240</v>
      </c>
      <c r="J24" s="85">
        <v>5812</v>
      </c>
      <c r="K24" s="86">
        <v>50</v>
      </c>
      <c r="L24" s="86"/>
      <c r="M24" s="86"/>
      <c r="N24" s="86"/>
      <c r="O24" s="86">
        <v>65615</v>
      </c>
      <c r="P24" s="86">
        <v>9</v>
      </c>
      <c r="Q24" s="86">
        <v>14</v>
      </c>
      <c r="R24" s="86">
        <v>2</v>
      </c>
      <c r="S24" s="86">
        <v>0</v>
      </c>
      <c r="T24" s="87">
        <v>17</v>
      </c>
      <c r="U24" s="88">
        <f t="shared" si="8"/>
        <v>8.6875315323917928E-7</v>
      </c>
      <c r="V24" s="164">
        <f t="shared" si="4"/>
        <v>7.8590351308700354E-9</v>
      </c>
      <c r="W24" s="164">
        <f t="shared" si="17"/>
        <v>0</v>
      </c>
      <c r="X24" s="164">
        <f t="shared" si="6"/>
        <v>0</v>
      </c>
      <c r="Y24" s="164">
        <f t="shared" si="7"/>
        <v>0</v>
      </c>
      <c r="Z24" s="164">
        <f t="shared" si="18"/>
        <v>1.1450459179948651E-9</v>
      </c>
      <c r="AA24" s="164">
        <f t="shared" si="19"/>
        <v>1.2245629956333974E-9</v>
      </c>
      <c r="AB24" s="164">
        <f t="shared" si="20"/>
        <v>3.2618229806826512E-10</v>
      </c>
      <c r="AC24" s="164">
        <f t="shared" si="2"/>
        <v>0</v>
      </c>
      <c r="AD24" s="89">
        <f t="shared" si="3"/>
        <v>1.70049028E-9</v>
      </c>
      <c r="AE24" s="90">
        <f>((Branco!$P$10-U24)/(Branco!$P$10))*100</f>
        <v>3.7971331148409364</v>
      </c>
      <c r="AF24" s="91"/>
      <c r="AG24" s="92">
        <f t="shared" si="21"/>
        <v>64.127556822144044</v>
      </c>
      <c r="AH24" s="92">
        <f t="shared" si="22"/>
        <v>0</v>
      </c>
      <c r="AI24" s="92">
        <f t="shared" si="23"/>
        <v>0</v>
      </c>
      <c r="AJ24" s="92">
        <f t="shared" si="24"/>
        <v>0</v>
      </c>
      <c r="AK24" s="92">
        <f t="shared" si="25"/>
        <v>9.3432585485911712</v>
      </c>
      <c r="AL24" s="92">
        <f t="shared" si="26"/>
        <v>11.101353878881417</v>
      </c>
      <c r="AM24" s="92">
        <f t="shared" si="27"/>
        <v>2.6615574947092195</v>
      </c>
      <c r="AN24" s="91">
        <f t="shared" si="28"/>
        <v>13.875531186756691</v>
      </c>
      <c r="AO24" s="38">
        <f t="shared" si="29"/>
        <v>94.126442744463816</v>
      </c>
      <c r="AP24" s="38">
        <f t="shared" si="30"/>
        <v>0</v>
      </c>
      <c r="AQ24" s="38">
        <f t="shared" si="31"/>
        <v>0</v>
      </c>
      <c r="AR24" s="38">
        <f t="shared" si="32"/>
        <v>4.5713456866383382</v>
      </c>
      <c r="AS24" s="38">
        <f t="shared" si="33"/>
        <v>1.302211568897826</v>
      </c>
      <c r="AT24" s="38">
        <f t="shared" si="34"/>
        <v>0</v>
      </c>
      <c r="AU24" s="38">
        <f t="shared" si="35"/>
        <v>91.422620119440296</v>
      </c>
      <c r="AV24" s="91">
        <f>(((U24*3)+(V24*3)+(2*W24)+(2*X24)+(Y24)+(Z24)+(AB24)))/((Branco!$P$10*3))*100</f>
        <v>97.127456912013642</v>
      </c>
      <c r="AW24" s="151">
        <f t="shared" si="36"/>
        <v>3.4714385830104999</v>
      </c>
      <c r="AX24" s="186">
        <f t="shared" si="37"/>
        <v>2.1021291790356618E-2</v>
      </c>
      <c r="AY24" s="93">
        <f t="shared" si="45"/>
        <v>0</v>
      </c>
      <c r="AZ24" s="93">
        <f t="shared" si="46"/>
        <v>0</v>
      </c>
      <c r="BA24" s="93">
        <f t="shared" si="47"/>
        <v>0</v>
      </c>
      <c r="BB24" s="93">
        <f t="shared" si="48"/>
        <v>1.1601065091077367</v>
      </c>
      <c r="BC24" s="101">
        <f t="shared" si="49"/>
        <v>1.7228565348339895</v>
      </c>
      <c r="BD24" s="92">
        <f t="shared" si="38"/>
        <v>0.89971128862726324</v>
      </c>
      <c r="BE24" s="93">
        <f t="shared" si="39"/>
        <v>0</v>
      </c>
      <c r="BF24" s="99">
        <f t="shared" si="40"/>
        <v>0</v>
      </c>
      <c r="BG24" s="99">
        <f t="shared" si="41"/>
        <v>0</v>
      </c>
      <c r="BH24" s="99">
        <f t="shared" si="42"/>
        <v>32.494583320107708</v>
      </c>
      <c r="BI24" s="100">
        <f t="shared" si="43"/>
        <v>3.445713069667979</v>
      </c>
      <c r="BJ24" s="109">
        <f t="shared" si="50"/>
        <v>2.5048333608673234E-8</v>
      </c>
      <c r="BK24" s="1">
        <f t="shared" si="51"/>
        <v>0.9519347630939774</v>
      </c>
    </row>
    <row r="25" spans="2:63" x14ac:dyDescent="0.25">
      <c r="B25" s="229"/>
      <c r="C25" s="23">
        <f>(C24/1000)*60</f>
        <v>1.6199999999999999</v>
      </c>
      <c r="D25" s="14" t="s">
        <v>22</v>
      </c>
      <c r="G25" s="181">
        <f t="shared" si="16"/>
        <v>8.9280982589584931E-2</v>
      </c>
      <c r="H25" s="17">
        <v>18</v>
      </c>
      <c r="I25" s="17">
        <v>255</v>
      </c>
      <c r="J25" s="40">
        <v>5728</v>
      </c>
      <c r="K25" s="41">
        <v>49</v>
      </c>
      <c r="L25" s="41"/>
      <c r="M25" s="41"/>
      <c r="N25" s="41"/>
      <c r="O25" s="41">
        <v>64157</v>
      </c>
      <c r="P25" s="41">
        <v>9</v>
      </c>
      <c r="Q25" s="41">
        <v>14</v>
      </c>
      <c r="R25" s="41">
        <v>3</v>
      </c>
      <c r="S25" s="41">
        <v>0</v>
      </c>
      <c r="T25" s="42">
        <v>16</v>
      </c>
      <c r="U25" s="32">
        <f t="shared" si="8"/>
        <v>8.5619718887715399E-7</v>
      </c>
      <c r="V25" s="163">
        <f t="shared" si="4"/>
        <v>7.7018544282526351E-9</v>
      </c>
      <c r="W25" s="163">
        <f t="shared" si="17"/>
        <v>0</v>
      </c>
      <c r="X25" s="163">
        <f t="shared" si="6"/>
        <v>0</v>
      </c>
      <c r="Y25" s="163">
        <f t="shared" si="7"/>
        <v>0</v>
      </c>
      <c r="Z25" s="163">
        <f t="shared" si="18"/>
        <v>1.1450459179948651E-9</v>
      </c>
      <c r="AA25" s="163">
        <f t="shared" si="19"/>
        <v>1.2245629956333974E-9</v>
      </c>
      <c r="AB25" s="163">
        <f t="shared" si="20"/>
        <v>4.3490973075768683E-10</v>
      </c>
      <c r="AC25" s="163">
        <f t="shared" si="2"/>
        <v>0</v>
      </c>
      <c r="AD25" s="33">
        <f t="shared" si="3"/>
        <v>1.6004614400000001E-9</v>
      </c>
      <c r="AE25" s="37">
        <f>((Branco!$P$10-U25)/(Branco!$P$10))*100</f>
        <v>5.1875393120799851</v>
      </c>
      <c r="AF25" s="38"/>
      <c r="AG25" s="39">
        <f t="shared" si="21"/>
        <v>63.615757035519927</v>
      </c>
      <c r="AH25" s="39">
        <f t="shared" si="22"/>
        <v>0</v>
      </c>
      <c r="AI25" s="39">
        <f t="shared" si="23"/>
        <v>0</v>
      </c>
      <c r="AJ25" s="39">
        <f t="shared" si="24"/>
        <v>0</v>
      </c>
      <c r="AK25" s="39">
        <f t="shared" si="25"/>
        <v>9.4578472746078024</v>
      </c>
      <c r="AL25" s="39">
        <f t="shared" si="26"/>
        <v>11.252825237082472</v>
      </c>
      <c r="AM25" s="39">
        <f t="shared" si="27"/>
        <v>3.5922662550947995</v>
      </c>
      <c r="AN25" s="38">
        <f t="shared" si="28"/>
        <v>13.219487210544129</v>
      </c>
      <c r="AO25" s="38">
        <f t="shared" si="29"/>
        <v>93.59966605114478</v>
      </c>
      <c r="AP25" s="38">
        <f t="shared" si="30"/>
        <v>0</v>
      </c>
      <c r="AQ25" s="38">
        <f t="shared" si="31"/>
        <v>0</v>
      </c>
      <c r="AR25" s="38">
        <f t="shared" si="32"/>
        <v>4.6385329029501241</v>
      </c>
      <c r="AS25" s="38">
        <f t="shared" si="33"/>
        <v>1.7618010459050921</v>
      </c>
      <c r="AT25" s="38">
        <f t="shared" si="34"/>
        <v>0</v>
      </c>
      <c r="AU25" s="38">
        <f t="shared" si="35"/>
        <v>89.597024606969384</v>
      </c>
      <c r="AV25" s="38">
        <f>(((U25*3)+(V25*3)+(2*W25)+(2*X25)+(Y25)+(Z25)+(AB25)))/((Branco!$P$10*3))*100</f>
        <v>95.723658413494476</v>
      </c>
      <c r="AW25" s="151">
        <f t="shared" si="36"/>
        <v>4.6478808739405144</v>
      </c>
      <c r="AX25" s="186">
        <f t="shared" si="37"/>
        <v>2.8145236541442725E-2</v>
      </c>
      <c r="AY25" s="23">
        <f t="shared" si="45"/>
        <v>0</v>
      </c>
      <c r="AZ25" s="23">
        <f t="shared" si="46"/>
        <v>0</v>
      </c>
      <c r="BA25" s="23">
        <f t="shared" si="47"/>
        <v>0</v>
      </c>
      <c r="BB25" s="23">
        <f t="shared" si="48"/>
        <v>1.6043435475403476</v>
      </c>
      <c r="BC25" s="151">
        <f t="shared" si="49"/>
        <v>2.2424340753491494</v>
      </c>
      <c r="BD25" s="39">
        <f t="shared" si="38"/>
        <v>1.2046161239737485</v>
      </c>
      <c r="BE25" s="23">
        <f t="shared" si="39"/>
        <v>0</v>
      </c>
      <c r="BF25">
        <f t="shared" si="40"/>
        <v>0</v>
      </c>
      <c r="BG25">
        <f t="shared" si="41"/>
        <v>0</v>
      </c>
      <c r="BH25">
        <f t="shared" si="42"/>
        <v>44.937662766605136</v>
      </c>
      <c r="BI25" s="14">
        <f t="shared" si="43"/>
        <v>4.4848681506982988</v>
      </c>
      <c r="BJ25" s="109">
        <f t="shared" si="50"/>
        <v>2.4685518933510457E-8</v>
      </c>
      <c r="BK25" s="1">
        <f t="shared" si="51"/>
        <v>0.95190440971071411</v>
      </c>
    </row>
    <row r="26" spans="2:63" ht="18.75" thickBot="1" x14ac:dyDescent="0.4">
      <c r="B26" s="225"/>
      <c r="C26" s="25">
        <f>(1*C25)/(0.082057*298)</f>
        <v>6.6249577863415121E-2</v>
      </c>
      <c r="D26" s="15" t="s">
        <v>24</v>
      </c>
      <c r="G26" s="181">
        <f t="shared" si="16"/>
        <v>8.932963850920074E-2</v>
      </c>
      <c r="H26" s="17">
        <v>19</v>
      </c>
      <c r="I26" s="17">
        <v>270</v>
      </c>
      <c r="J26" s="40">
        <v>5738</v>
      </c>
      <c r="K26" s="41">
        <v>48</v>
      </c>
      <c r="L26" s="41"/>
      <c r="M26" s="41"/>
      <c r="N26" s="41"/>
      <c r="O26" s="41">
        <v>64234</v>
      </c>
      <c r="P26" s="41">
        <v>9</v>
      </c>
      <c r="Q26" s="41">
        <v>12</v>
      </c>
      <c r="R26" s="41">
        <v>4</v>
      </c>
      <c r="S26" s="41">
        <v>0</v>
      </c>
      <c r="T26" s="42">
        <v>15</v>
      </c>
      <c r="U26" s="32">
        <f t="shared" si="8"/>
        <v>8.5769194653929991E-7</v>
      </c>
      <c r="V26" s="163">
        <f t="shared" si="4"/>
        <v>7.5446737256352331E-9</v>
      </c>
      <c r="W26" s="163">
        <f t="shared" si="17"/>
        <v>0</v>
      </c>
      <c r="X26" s="163">
        <f t="shared" si="6"/>
        <v>0</v>
      </c>
      <c r="Y26" s="163">
        <f t="shared" si="7"/>
        <v>0</v>
      </c>
      <c r="Z26" s="163">
        <f t="shared" si="18"/>
        <v>1.1450459179948651E-9</v>
      </c>
      <c r="AA26" s="163">
        <f t="shared" si="19"/>
        <v>1.0496254248286264E-9</v>
      </c>
      <c r="AB26" s="163">
        <f t="shared" si="20"/>
        <v>3.2618229806826512E-10</v>
      </c>
      <c r="AC26" s="163">
        <f t="shared" si="2"/>
        <v>0</v>
      </c>
      <c r="AD26" s="33">
        <f t="shared" si="3"/>
        <v>1.5004326000000002E-9</v>
      </c>
      <c r="AE26" s="37">
        <f>((Branco!$P$10-U26)/(Branco!$P$10))*100</f>
        <v>5.0220147647896169</v>
      </c>
      <c r="AF26" s="38"/>
      <c r="AG26" s="39">
        <f t="shared" si="21"/>
        <v>65.231712261414117</v>
      </c>
      <c r="AH26" s="39">
        <f t="shared" si="22"/>
        <v>0</v>
      </c>
      <c r="AI26" s="39">
        <f t="shared" si="23"/>
        <v>0</v>
      </c>
      <c r="AJ26" s="39">
        <f t="shared" si="24"/>
        <v>0</v>
      </c>
      <c r="AK26" s="39">
        <f t="shared" si="25"/>
        <v>9.9001373107700452</v>
      </c>
      <c r="AL26" s="39">
        <f t="shared" si="26"/>
        <v>9.9809056156092417</v>
      </c>
      <c r="AM26" s="39">
        <f t="shared" si="27"/>
        <v>2.8201921761122151</v>
      </c>
      <c r="AN26" s="38">
        <f t="shared" ref="AN26:AN32" si="52">(AD26/SUM(V26,X26,Y26,Z26,AB26,AD26))*100</f>
        <v>14.267638539365862</v>
      </c>
      <c r="AO26" s="38">
        <f t="shared" si="29"/>
        <v>93.896648020193183</v>
      </c>
      <c r="AP26" s="38">
        <f t="shared" si="30"/>
        <v>0</v>
      </c>
      <c r="AQ26" s="38">
        <f t="shared" si="31"/>
        <v>0</v>
      </c>
      <c r="AR26" s="38">
        <f t="shared" si="32"/>
        <v>4.7501932020203839</v>
      </c>
      <c r="AS26" s="38">
        <f t="shared" si="33"/>
        <v>1.3531587777864187</v>
      </c>
      <c r="AT26" s="38">
        <f t="shared" si="34"/>
        <v>0</v>
      </c>
      <c r="AU26" s="38">
        <f t="shared" si="35"/>
        <v>90.016616847134898</v>
      </c>
      <c r="AV26" s="38">
        <f>(((U26*3)+(V26*3)+(2*W26)+(2*X26)+(Y26)+(Z26)+(AB26)))/((Branco!$P$10*3))*100</f>
        <v>95.867763913975026</v>
      </c>
      <c r="AW26" s="151">
        <f t="shared" si="36"/>
        <v>4.5206477888272119</v>
      </c>
      <c r="AX26" s="186">
        <f t="shared" si="37"/>
        <v>2.7374776761268663E-2</v>
      </c>
      <c r="AY26" s="23">
        <f t="shared" si="45"/>
        <v>0</v>
      </c>
      <c r="AZ26" s="23">
        <f t="shared" si="46"/>
        <v>0</v>
      </c>
      <c r="BA26" s="23">
        <f t="shared" si="47"/>
        <v>0</v>
      </c>
      <c r="BB26" s="23">
        <f t="shared" si="48"/>
        <v>1.6257841215491746</v>
      </c>
      <c r="BC26" s="151">
        <f t="shared" si="49"/>
        <v>2.3430079261698498</v>
      </c>
      <c r="BD26" s="39">
        <f t="shared" si="38"/>
        <v>1.1716404453822986</v>
      </c>
      <c r="BE26" s="23">
        <f t="shared" si="39"/>
        <v>0</v>
      </c>
      <c r="BF26">
        <f t="shared" si="40"/>
        <v>0</v>
      </c>
      <c r="BG26">
        <f t="shared" si="41"/>
        <v>0</v>
      </c>
      <c r="BH26">
        <f t="shared" si="42"/>
        <v>45.538213244592384</v>
      </c>
      <c r="BI26" s="14">
        <f t="shared" si="43"/>
        <v>4.6860158523396995</v>
      </c>
      <c r="BJ26" s="109">
        <f t="shared" si="50"/>
        <v>2.4105249392968829E-8</v>
      </c>
      <c r="BK26" s="1">
        <f t="shared" si="51"/>
        <v>0.92813125334087776</v>
      </c>
    </row>
    <row r="27" spans="2:63" ht="15.75" thickBot="1" x14ac:dyDescent="0.3">
      <c r="G27" s="181">
        <f t="shared" si="16"/>
        <v>9.0110747153330215E-2</v>
      </c>
      <c r="H27" s="17">
        <v>20</v>
      </c>
      <c r="I27" s="17">
        <v>285</v>
      </c>
      <c r="J27" s="40">
        <v>5777</v>
      </c>
      <c r="K27" s="41">
        <v>49</v>
      </c>
      <c r="L27" s="41"/>
      <c r="M27" s="41"/>
      <c r="N27" s="41"/>
      <c r="O27" s="41">
        <v>64110</v>
      </c>
      <c r="P27" s="41">
        <v>9</v>
      </c>
      <c r="Q27" s="41">
        <v>13</v>
      </c>
      <c r="R27" s="41">
        <v>3</v>
      </c>
      <c r="S27" s="41">
        <v>0</v>
      </c>
      <c r="T27" s="42">
        <v>14</v>
      </c>
      <c r="U27" s="32">
        <f t="shared" si="8"/>
        <v>8.6352150142166881E-7</v>
      </c>
      <c r="V27" s="163">
        <f t="shared" si="4"/>
        <v>7.7018544282526351E-9</v>
      </c>
      <c r="W27" s="163">
        <f t="shared" si="17"/>
        <v>0</v>
      </c>
      <c r="X27" s="163">
        <f t="shared" si="6"/>
        <v>0</v>
      </c>
      <c r="Y27" s="163">
        <f t="shared" si="7"/>
        <v>0</v>
      </c>
      <c r="Z27" s="163">
        <f t="shared" si="18"/>
        <v>1.0178185937732133E-9</v>
      </c>
      <c r="AA27" s="163">
        <f t="shared" si="19"/>
        <v>1.1370942102310119E-9</v>
      </c>
      <c r="AB27" s="163">
        <f t="shared" si="20"/>
        <v>3.2618229806826512E-10</v>
      </c>
      <c r="AC27" s="163">
        <f t="shared" si="2"/>
        <v>0</v>
      </c>
      <c r="AD27" s="33">
        <f t="shared" si="3"/>
        <v>1.40040376E-9</v>
      </c>
      <c r="AE27" s="37">
        <f>((Branco!$P$10-U27)/(Branco!$P$10))*100</f>
        <v>4.3764690303571987</v>
      </c>
      <c r="AF27" s="38"/>
      <c r="AG27" s="39">
        <f t="shared" si="21"/>
        <v>66.490715039189283</v>
      </c>
      <c r="AH27" s="39">
        <f t="shared" si="22"/>
        <v>0</v>
      </c>
      <c r="AI27" s="39">
        <f t="shared" si="23"/>
        <v>0</v>
      </c>
      <c r="AJ27" s="39">
        <f t="shared" si="24"/>
        <v>0</v>
      </c>
      <c r="AK27" s="39">
        <f t="shared" si="25"/>
        <v>8.7869079726967811</v>
      </c>
      <c r="AL27" s="39">
        <f t="shared" si="26"/>
        <v>10.885181015640361</v>
      </c>
      <c r="AM27" s="39">
        <f t="shared" si="27"/>
        <v>2.8159574338521254</v>
      </c>
      <c r="AN27" s="38">
        <f t="shared" si="52"/>
        <v>13.405791961148484</v>
      </c>
      <c r="AO27" s="38">
        <f t="shared" si="29"/>
        <v>94.502965851931947</v>
      </c>
      <c r="AP27" s="38">
        <f t="shared" si="30"/>
        <v>0</v>
      </c>
      <c r="AQ27" s="38">
        <f t="shared" si="31"/>
        <v>0</v>
      </c>
      <c r="AR27" s="38">
        <f t="shared" si="32"/>
        <v>4.16293143886534</v>
      </c>
      <c r="AS27" s="38">
        <f t="shared" si="33"/>
        <v>1.3341027092026998</v>
      </c>
      <c r="AT27" s="38">
        <f t="shared" si="34"/>
        <v>0</v>
      </c>
      <c r="AU27" s="38">
        <f t="shared" si="35"/>
        <v>91.219950846856406</v>
      </c>
      <c r="AV27" s="38">
        <f>(((U27*3)+(V27*3)+(2*W27)+(2*X27)+(Y27)+(Z27)+(AB27)))/((Branco!$P$10*3))*100</f>
        <v>96.526019077306643</v>
      </c>
      <c r="AW27" s="151">
        <f t="shared" si="36"/>
        <v>3.9922128983197296</v>
      </c>
      <c r="AX27" s="186">
        <f t="shared" si="37"/>
        <v>2.4174839974275442E-2</v>
      </c>
      <c r="AY27" s="23">
        <f t="shared" si="45"/>
        <v>0</v>
      </c>
      <c r="AZ27" s="23">
        <f t="shared" si="46"/>
        <v>0</v>
      </c>
      <c r="BA27" s="23">
        <f t="shared" si="47"/>
        <v>0</v>
      </c>
      <c r="BB27" s="23">
        <f t="shared" si="48"/>
        <v>1.2574873123011896</v>
      </c>
      <c r="BC27" s="151">
        <f t="shared" si="49"/>
        <v>1.9184920742170632</v>
      </c>
      <c r="BD27" s="39">
        <f t="shared" si="38"/>
        <v>1.0346831508989889</v>
      </c>
      <c r="BE27" s="23">
        <f t="shared" si="39"/>
        <v>0</v>
      </c>
      <c r="BF27">
        <f t="shared" si="40"/>
        <v>0</v>
      </c>
      <c r="BG27">
        <f t="shared" si="41"/>
        <v>0</v>
      </c>
      <c r="BH27">
        <f t="shared" si="42"/>
        <v>35.22221961755632</v>
      </c>
      <c r="BI27" s="14">
        <f t="shared" si="43"/>
        <v>3.8369841484341265</v>
      </c>
      <c r="BJ27" s="109">
        <f t="shared" si="50"/>
        <v>2.4449564176599382E-8</v>
      </c>
      <c r="BK27" s="1">
        <f t="shared" si="51"/>
        <v>0.93496874344427061</v>
      </c>
    </row>
    <row r="28" spans="2:63" x14ac:dyDescent="0.25">
      <c r="B28" s="230" t="s">
        <v>25</v>
      </c>
      <c r="C28" s="231"/>
      <c r="D28" s="21">
        <f>(1*(0.25/1000))/(0.082057*373)</f>
        <v>8.1679964763916645E-6</v>
      </c>
      <c r="G28" s="181">
        <f t="shared" si="16"/>
        <v>8.8302593792711576E-2</v>
      </c>
      <c r="H28" s="84">
        <v>21</v>
      </c>
      <c r="I28" s="84">
        <v>300</v>
      </c>
      <c r="J28" s="85">
        <v>5750</v>
      </c>
      <c r="K28" s="86">
        <v>48</v>
      </c>
      <c r="L28" s="86"/>
      <c r="M28" s="86"/>
      <c r="N28" s="86"/>
      <c r="O28" s="86">
        <v>65117</v>
      </c>
      <c r="P28" s="86">
        <v>8</v>
      </c>
      <c r="Q28" s="86">
        <v>13</v>
      </c>
      <c r="R28" s="86">
        <v>3</v>
      </c>
      <c r="S28" s="86">
        <v>0</v>
      </c>
      <c r="T28" s="87">
        <v>14</v>
      </c>
      <c r="U28" s="88">
        <f t="shared" si="8"/>
        <v>8.5948565573387489E-7</v>
      </c>
      <c r="V28" s="164">
        <f t="shared" si="4"/>
        <v>7.5446737256352331E-9</v>
      </c>
      <c r="W28" s="164">
        <f t="shared" si="17"/>
        <v>0</v>
      </c>
      <c r="X28" s="164">
        <f t="shared" si="6"/>
        <v>0</v>
      </c>
      <c r="Y28" s="164">
        <f t="shared" si="7"/>
        <v>0</v>
      </c>
      <c r="Z28" s="164">
        <f>P28*$D$14</f>
        <v>1.0178185937732133E-9</v>
      </c>
      <c r="AA28" s="164">
        <f t="shared" si="19"/>
        <v>1.1370942102310119E-9</v>
      </c>
      <c r="AB28" s="164">
        <f>R28*$D$15</f>
        <v>3.2618229806826512E-10</v>
      </c>
      <c r="AC28" s="164">
        <f t="shared" si="2"/>
        <v>0</v>
      </c>
      <c r="AD28" s="89">
        <f t="shared" si="3"/>
        <v>1.40040376E-9</v>
      </c>
      <c r="AE28" s="90">
        <f>((Branco!$P$10-U28)/(Branco!$P$10))*100</f>
        <v>4.8233853080411881</v>
      </c>
      <c r="AF28" s="91"/>
      <c r="AG28" s="92">
        <f t="shared" si="21"/>
        <v>66.029754650754995</v>
      </c>
      <c r="AH28" s="92">
        <f t="shared" si="22"/>
        <v>0</v>
      </c>
      <c r="AI28" s="92">
        <f t="shared" si="23"/>
        <v>0</v>
      </c>
      <c r="AJ28" s="92">
        <f t="shared" si="24"/>
        <v>0</v>
      </c>
      <c r="AK28" s="92">
        <f t="shared" si="25"/>
        <v>8.907782426358434</v>
      </c>
      <c r="AL28" s="92">
        <f t="shared" si="26"/>
        <v>11.051468056849153</v>
      </c>
      <c r="AM28" s="92">
        <f t="shared" si="27"/>
        <v>2.854694304365506</v>
      </c>
      <c r="AN28" s="91">
        <f t="shared" si="52"/>
        <v>13.610585016686736</v>
      </c>
      <c r="AO28" s="38">
        <f t="shared" si="29"/>
        <v>94.394863396204627</v>
      </c>
      <c r="AP28" s="38">
        <f t="shared" si="30"/>
        <v>0</v>
      </c>
      <c r="AQ28" s="38">
        <f t="shared" si="31"/>
        <v>0</v>
      </c>
      <c r="AR28" s="38">
        <f t="shared" si="32"/>
        <v>4.2447979689693947</v>
      </c>
      <c r="AS28" s="38">
        <f t="shared" si="33"/>
        <v>1.3603386348259698</v>
      </c>
      <c r="AT28" s="38">
        <f t="shared" si="34"/>
        <v>0</v>
      </c>
      <c r="AU28" s="38">
        <f t="shared" si="35"/>
        <v>90.677307777764909</v>
      </c>
      <c r="AV28" s="91">
        <f>(((U28*3)+(V28*3)+(2*W28)+(2*X28)+(Y28)+(Z28)+(AB28)))/((Branco!$P$10*3))*100</f>
        <v>96.061697125577709</v>
      </c>
      <c r="AW28" s="151">
        <f t="shared" si="36"/>
        <v>4.3737159410800022</v>
      </c>
      <c r="AX28" s="186">
        <f t="shared" si="37"/>
        <v>2.6485031149778755E-2</v>
      </c>
      <c r="AY28" s="93">
        <f t="shared" si="45"/>
        <v>0</v>
      </c>
      <c r="AZ28" s="93">
        <f t="shared" si="46"/>
        <v>0</v>
      </c>
      <c r="BA28" s="93">
        <f t="shared" si="47"/>
        <v>0</v>
      </c>
      <c r="BB28" s="93">
        <f t="shared" si="48"/>
        <v>1.4049641133205235</v>
      </c>
      <c r="BC28" s="101">
        <f t="shared" si="49"/>
        <v>2.1467052734874947</v>
      </c>
      <c r="BD28" s="92">
        <f t="shared" si="38"/>
        <v>1.1335593332105307</v>
      </c>
      <c r="BE28" s="93">
        <f t="shared" si="39"/>
        <v>0</v>
      </c>
      <c r="BF28" s="99">
        <f t="shared" si="40"/>
        <v>0</v>
      </c>
      <c r="BG28" s="99">
        <f t="shared" si="41"/>
        <v>0</v>
      </c>
      <c r="BH28" s="99">
        <f t="shared" si="42"/>
        <v>39.353044814107868</v>
      </c>
      <c r="BI28" s="100">
        <f t="shared" si="43"/>
        <v>4.2934105469749895</v>
      </c>
      <c r="BJ28" s="109">
        <f t="shared" si="50"/>
        <v>2.3978022068747178E-8</v>
      </c>
      <c r="BK28" s="1">
        <f t="shared" si="51"/>
        <v>0.92136872458319297</v>
      </c>
    </row>
    <row r="29" spans="2:63" x14ac:dyDescent="0.25">
      <c r="B29" s="220" t="s">
        <v>28</v>
      </c>
      <c r="C29" s="221"/>
      <c r="D29" s="22">
        <v>1</v>
      </c>
      <c r="H29" s="17"/>
      <c r="I29" s="17"/>
      <c r="J29" s="40"/>
      <c r="K29" s="41"/>
      <c r="L29" s="41"/>
      <c r="M29" s="41"/>
      <c r="N29" s="41"/>
      <c r="O29" s="41"/>
      <c r="P29" s="41"/>
      <c r="Q29" s="41"/>
      <c r="R29" s="41"/>
      <c r="S29" s="41"/>
      <c r="T29" s="42"/>
      <c r="U29" s="32">
        <f t="shared" si="8"/>
        <v>0</v>
      </c>
      <c r="V29" s="163">
        <f t="shared" si="4"/>
        <v>0</v>
      </c>
      <c r="W29" s="163">
        <f t="shared" si="17"/>
        <v>0</v>
      </c>
      <c r="X29" s="163">
        <f t="shared" si="6"/>
        <v>0</v>
      </c>
      <c r="Y29" s="163">
        <f t="shared" si="7"/>
        <v>0</v>
      </c>
      <c r="Z29" s="163">
        <f t="shared" si="18"/>
        <v>0</v>
      </c>
      <c r="AA29" s="163">
        <f t="shared" si="19"/>
        <v>0</v>
      </c>
      <c r="AB29" s="163">
        <f t="shared" si="20"/>
        <v>0</v>
      </c>
      <c r="AC29" s="163">
        <f t="shared" si="2"/>
        <v>0</v>
      </c>
      <c r="AD29" s="33">
        <f t="shared" si="3"/>
        <v>0</v>
      </c>
      <c r="AE29" s="37">
        <f>((Branco!$P$10-U29)/(Branco!$P$10))*100</f>
        <v>100</v>
      </c>
      <c r="AF29" s="38"/>
      <c r="AG29" s="39" t="e">
        <f t="shared" si="21"/>
        <v>#DIV/0!</v>
      </c>
      <c r="AH29" s="39" t="e">
        <f t="shared" si="22"/>
        <v>#DIV/0!</v>
      </c>
      <c r="AI29" s="39" t="e">
        <f t="shared" si="23"/>
        <v>#DIV/0!</v>
      </c>
      <c r="AJ29" s="39" t="e">
        <f t="shared" si="24"/>
        <v>#DIV/0!</v>
      </c>
      <c r="AK29" s="39" t="e">
        <f t="shared" si="25"/>
        <v>#DIV/0!</v>
      </c>
      <c r="AL29" s="39" t="e">
        <f t="shared" si="26"/>
        <v>#DIV/0!</v>
      </c>
      <c r="AM29" s="39" t="e">
        <f t="shared" si="27"/>
        <v>#DIV/0!</v>
      </c>
      <c r="AN29" s="38" t="e">
        <f t="shared" si="52"/>
        <v>#DIV/0!</v>
      </c>
      <c r="AO29" s="38" t="e">
        <f>(V29/(SUM(V29+(W29*2/3)+(X29*2/3)+(Y29*1/3)+(Z29*1/3)+(AB29*1/3)))*100)</f>
        <v>#DIV/0!</v>
      </c>
      <c r="AP29" s="38" t="e">
        <f t="shared" si="30"/>
        <v>#DIV/0!</v>
      </c>
      <c r="AQ29" s="38" t="e">
        <f t="shared" si="31"/>
        <v>#DIV/0!</v>
      </c>
      <c r="AR29" s="38" t="e">
        <f t="shared" si="32"/>
        <v>#DIV/0!</v>
      </c>
      <c r="AS29" s="38" t="e">
        <f t="shared" si="33"/>
        <v>#DIV/0!</v>
      </c>
      <c r="AT29" s="151">
        <f t="shared" ref="AT29:AT32" si="53">(Y29/(AVERAGE($U$5:$U$7)-V29))*100*1/3</f>
        <v>0</v>
      </c>
      <c r="AU29" s="38" t="e">
        <f t="shared" si="35"/>
        <v>#DIV/0!</v>
      </c>
      <c r="AV29" s="38">
        <f>(((U29*3)+(V29*3)+(2*W29)+(2*X29)+(Y29)+(Z29)+(AB29)))/((Branco!$P$10*3))*100</f>
        <v>0</v>
      </c>
      <c r="AW29" s="151" t="e">
        <f t="shared" ref="AW29:AW31" si="54">(AO29*AE29)/100</f>
        <v>#DIV/0!</v>
      </c>
      <c r="AX29" s="186" t="e">
        <f t="shared" ref="AX29:AX32" si="55">(((AW29/100)*($C$23)*1000)/$C$5)</f>
        <v>#DIV/0!</v>
      </c>
      <c r="AY29" s="23" t="e">
        <f t="shared" si="45"/>
        <v>#DIV/0!</v>
      </c>
      <c r="AZ29" s="23" t="e">
        <f t="shared" si="46"/>
        <v>#DIV/0!</v>
      </c>
      <c r="BA29" s="23" t="e">
        <f t="shared" si="47"/>
        <v>#DIV/0!</v>
      </c>
      <c r="BB29" s="23" t="e">
        <f t="shared" si="48"/>
        <v>#DIV/0!</v>
      </c>
      <c r="BC29" s="151" t="e">
        <f t="shared" si="49"/>
        <v>#DIV/0!</v>
      </c>
      <c r="BD29" s="39" t="e">
        <f t="shared" si="38"/>
        <v>#DIV/0!</v>
      </c>
      <c r="BE29" s="23" t="e">
        <f t="shared" si="39"/>
        <v>#DIV/0!</v>
      </c>
      <c r="BF29" t="e">
        <f t="shared" si="40"/>
        <v>#DIV/0!</v>
      </c>
      <c r="BG29" t="e">
        <f t="shared" si="41"/>
        <v>#DIV/0!</v>
      </c>
      <c r="BH29" t="e">
        <f t="shared" si="42"/>
        <v>#DIV/0!</v>
      </c>
      <c r="BI29" s="14" t="e">
        <f t="shared" si="43"/>
        <v>#DIV/0!</v>
      </c>
      <c r="BJ29" s="109">
        <f t="shared" si="50"/>
        <v>0</v>
      </c>
      <c r="BK29" s="1" t="e">
        <f t="shared" si="51"/>
        <v>#DIV/0!</v>
      </c>
    </row>
    <row r="30" spans="2:63" x14ac:dyDescent="0.25">
      <c r="B30" s="220" t="s">
        <v>29</v>
      </c>
      <c r="C30" s="221"/>
      <c r="D30" s="22">
        <v>0</v>
      </c>
      <c r="H30" s="17"/>
      <c r="I30" s="17"/>
      <c r="J30" s="40"/>
      <c r="K30" s="41"/>
      <c r="L30" s="41"/>
      <c r="M30" s="41"/>
      <c r="N30" s="41"/>
      <c r="O30" s="41"/>
      <c r="P30" s="41"/>
      <c r="Q30" s="41"/>
      <c r="R30" s="41"/>
      <c r="S30" s="41"/>
      <c r="T30" s="42"/>
      <c r="U30" s="32">
        <f t="shared" si="8"/>
        <v>0</v>
      </c>
      <c r="V30" s="163">
        <f t="shared" si="4"/>
        <v>0</v>
      </c>
      <c r="W30" s="163">
        <f t="shared" si="17"/>
        <v>0</v>
      </c>
      <c r="X30" s="163">
        <f t="shared" si="6"/>
        <v>0</v>
      </c>
      <c r="Y30" s="163">
        <f t="shared" si="7"/>
        <v>0</v>
      </c>
      <c r="Z30" s="163">
        <f t="shared" si="18"/>
        <v>0</v>
      </c>
      <c r="AA30" s="163">
        <f t="shared" si="19"/>
        <v>0</v>
      </c>
      <c r="AB30" s="163">
        <f t="shared" si="20"/>
        <v>0</v>
      </c>
      <c r="AC30" s="163">
        <f t="shared" si="2"/>
        <v>0</v>
      </c>
      <c r="AD30" s="33">
        <f t="shared" si="3"/>
        <v>0</v>
      </c>
      <c r="AE30" s="37">
        <f>((Branco!$P$10-U30)/(Branco!$P$10))*100</f>
        <v>100</v>
      </c>
      <c r="AF30" s="38"/>
      <c r="AG30" s="39" t="e">
        <f t="shared" si="21"/>
        <v>#DIV/0!</v>
      </c>
      <c r="AH30" s="39" t="e">
        <f t="shared" si="22"/>
        <v>#DIV/0!</v>
      </c>
      <c r="AI30" s="39" t="e">
        <f t="shared" si="23"/>
        <v>#DIV/0!</v>
      </c>
      <c r="AJ30" s="39" t="e">
        <f t="shared" si="24"/>
        <v>#DIV/0!</v>
      </c>
      <c r="AK30" s="39" t="e">
        <f t="shared" si="25"/>
        <v>#DIV/0!</v>
      </c>
      <c r="AL30" s="39" t="e">
        <f t="shared" si="26"/>
        <v>#DIV/0!</v>
      </c>
      <c r="AM30" s="39" t="e">
        <f t="shared" si="27"/>
        <v>#DIV/0!</v>
      </c>
      <c r="AN30" s="38" t="e">
        <f t="shared" si="52"/>
        <v>#DIV/0!</v>
      </c>
      <c r="AO30" s="38" t="e">
        <f t="shared" si="29"/>
        <v>#DIV/0!</v>
      </c>
      <c r="AP30" s="38" t="e">
        <f t="shared" si="30"/>
        <v>#DIV/0!</v>
      </c>
      <c r="AQ30" s="38" t="e">
        <f t="shared" si="31"/>
        <v>#DIV/0!</v>
      </c>
      <c r="AR30" s="38" t="e">
        <f t="shared" si="32"/>
        <v>#DIV/0!</v>
      </c>
      <c r="AS30" s="38" t="e">
        <f t="shared" si="33"/>
        <v>#DIV/0!</v>
      </c>
      <c r="AT30" s="151">
        <f t="shared" si="53"/>
        <v>0</v>
      </c>
      <c r="AU30" s="38" t="e">
        <f t="shared" si="35"/>
        <v>#DIV/0!</v>
      </c>
      <c r="AV30" s="38">
        <f>(((U30*3)+(V30*3)+(2*W30)+(2*X30)+(Y30)+(Z30)+(AB30)))/((Branco!$P$10*3))*100</f>
        <v>0</v>
      </c>
      <c r="AW30" s="151" t="e">
        <f t="shared" si="54"/>
        <v>#DIV/0!</v>
      </c>
      <c r="AX30" s="186" t="e">
        <f t="shared" si="55"/>
        <v>#DIV/0!</v>
      </c>
      <c r="AY30" s="23" t="e">
        <f t="shared" si="45"/>
        <v>#DIV/0!</v>
      </c>
      <c r="AZ30" s="23" t="e">
        <f t="shared" si="46"/>
        <v>#DIV/0!</v>
      </c>
      <c r="BA30" s="23" t="e">
        <f t="shared" si="47"/>
        <v>#DIV/0!</v>
      </c>
      <c r="BB30" s="23" t="e">
        <f t="shared" si="48"/>
        <v>#DIV/0!</v>
      </c>
      <c r="BC30" s="151" t="e">
        <f t="shared" si="49"/>
        <v>#DIV/0!</v>
      </c>
      <c r="BD30" s="39" t="e">
        <f t="shared" si="38"/>
        <v>#DIV/0!</v>
      </c>
      <c r="BE30" s="23" t="e">
        <f t="shared" si="39"/>
        <v>#DIV/0!</v>
      </c>
      <c r="BF30" t="e">
        <f t="shared" si="40"/>
        <v>#DIV/0!</v>
      </c>
      <c r="BG30" t="e">
        <f t="shared" si="41"/>
        <v>#DIV/0!</v>
      </c>
      <c r="BH30" t="e">
        <f t="shared" si="42"/>
        <v>#DIV/0!</v>
      </c>
      <c r="BI30" s="14" t="e">
        <f t="shared" si="43"/>
        <v>#DIV/0!</v>
      </c>
      <c r="BJ30" s="109">
        <f t="shared" si="50"/>
        <v>0</v>
      </c>
      <c r="BK30" s="1" t="e">
        <f t="shared" si="51"/>
        <v>#DIV/0!</v>
      </c>
    </row>
    <row r="31" spans="2:63" x14ac:dyDescent="0.25">
      <c r="B31" s="220" t="s">
        <v>26</v>
      </c>
      <c r="C31" s="221"/>
      <c r="D31" s="26">
        <f>D28*D29</f>
        <v>8.1679964763916645E-6</v>
      </c>
      <c r="H31" s="17"/>
      <c r="I31" s="17"/>
      <c r="J31" s="40"/>
      <c r="K31" s="41"/>
      <c r="L31" s="41"/>
      <c r="M31" s="41"/>
      <c r="N31" s="41"/>
      <c r="O31" s="41"/>
      <c r="P31" s="41"/>
      <c r="Q31" s="41"/>
      <c r="R31" s="41"/>
      <c r="S31" s="41"/>
      <c r="T31" s="42"/>
      <c r="U31" s="32">
        <f t="shared" si="8"/>
        <v>0</v>
      </c>
      <c r="V31" s="163">
        <f t="shared" si="4"/>
        <v>0</v>
      </c>
      <c r="W31" s="163">
        <f t="shared" si="17"/>
        <v>0</v>
      </c>
      <c r="X31" s="163">
        <f t="shared" si="6"/>
        <v>0</v>
      </c>
      <c r="Y31" s="163">
        <f t="shared" si="7"/>
        <v>0</v>
      </c>
      <c r="Z31" s="163">
        <f t="shared" si="18"/>
        <v>0</v>
      </c>
      <c r="AA31" s="163">
        <f t="shared" si="19"/>
        <v>0</v>
      </c>
      <c r="AB31" s="163">
        <f t="shared" si="20"/>
        <v>0</v>
      </c>
      <c r="AC31" s="163">
        <f t="shared" si="2"/>
        <v>0</v>
      </c>
      <c r="AD31" s="33">
        <f t="shared" si="3"/>
        <v>0</v>
      </c>
      <c r="AE31" s="37">
        <f>((Branco!$P$10-U31)/(Branco!$P$10))*100</f>
        <v>100</v>
      </c>
      <c r="AF31" s="38"/>
      <c r="AG31" s="39" t="e">
        <f t="shared" si="21"/>
        <v>#DIV/0!</v>
      </c>
      <c r="AH31" s="39" t="e">
        <f t="shared" si="22"/>
        <v>#DIV/0!</v>
      </c>
      <c r="AI31" s="39" t="e">
        <f t="shared" si="23"/>
        <v>#DIV/0!</v>
      </c>
      <c r="AJ31" s="39" t="e">
        <f t="shared" si="24"/>
        <v>#DIV/0!</v>
      </c>
      <c r="AK31" s="39" t="e">
        <f t="shared" si="25"/>
        <v>#DIV/0!</v>
      </c>
      <c r="AL31" s="39" t="e">
        <f t="shared" si="26"/>
        <v>#DIV/0!</v>
      </c>
      <c r="AM31" s="39" t="e">
        <f t="shared" si="27"/>
        <v>#DIV/0!</v>
      </c>
      <c r="AN31" s="38" t="e">
        <f t="shared" si="52"/>
        <v>#DIV/0!</v>
      </c>
      <c r="AO31" s="38" t="e">
        <f t="shared" si="29"/>
        <v>#DIV/0!</v>
      </c>
      <c r="AP31" s="38" t="e">
        <f t="shared" si="30"/>
        <v>#DIV/0!</v>
      </c>
      <c r="AQ31" s="38" t="e">
        <f t="shared" si="31"/>
        <v>#DIV/0!</v>
      </c>
      <c r="AR31" s="38" t="e">
        <f t="shared" si="32"/>
        <v>#DIV/0!</v>
      </c>
      <c r="AS31" s="38" t="e">
        <f t="shared" si="33"/>
        <v>#DIV/0!</v>
      </c>
      <c r="AT31" s="151">
        <f t="shared" si="53"/>
        <v>0</v>
      </c>
      <c r="AU31" s="38" t="e">
        <f t="shared" si="35"/>
        <v>#DIV/0!</v>
      </c>
      <c r="AV31" s="38">
        <f>(((U31*3)+(V31*3)+(2*W31)+(2*X31)+(Y31)+(Z31)+(AB31)))/((Branco!$P$10*3))*100</f>
        <v>0</v>
      </c>
      <c r="AW31" s="151" t="e">
        <f t="shared" si="54"/>
        <v>#DIV/0!</v>
      </c>
      <c r="AX31" s="186" t="e">
        <f t="shared" si="55"/>
        <v>#DIV/0!</v>
      </c>
      <c r="AY31" s="23" t="e">
        <f t="shared" si="45"/>
        <v>#DIV/0!</v>
      </c>
      <c r="AZ31" s="23" t="e">
        <f t="shared" si="46"/>
        <v>#DIV/0!</v>
      </c>
      <c r="BA31" s="23" t="e">
        <f t="shared" si="47"/>
        <v>#DIV/0!</v>
      </c>
      <c r="BB31" s="23" t="e">
        <f t="shared" si="48"/>
        <v>#DIV/0!</v>
      </c>
      <c r="BC31" s="151" t="e">
        <f t="shared" si="49"/>
        <v>#DIV/0!</v>
      </c>
      <c r="BD31" s="39" t="e">
        <f t="shared" si="38"/>
        <v>#DIV/0!</v>
      </c>
      <c r="BE31" s="23" t="e">
        <f t="shared" si="39"/>
        <v>#DIV/0!</v>
      </c>
      <c r="BF31" t="e">
        <f t="shared" si="40"/>
        <v>#DIV/0!</v>
      </c>
      <c r="BG31" t="e">
        <f t="shared" si="41"/>
        <v>#DIV/0!</v>
      </c>
      <c r="BH31" t="e">
        <f t="shared" si="42"/>
        <v>#DIV/0!</v>
      </c>
      <c r="BI31" s="14" t="e">
        <f t="shared" si="43"/>
        <v>#DIV/0!</v>
      </c>
      <c r="BJ31" s="109">
        <f t="shared" si="50"/>
        <v>0</v>
      </c>
      <c r="BK31" s="1" t="e">
        <f t="shared" si="51"/>
        <v>#DIV/0!</v>
      </c>
    </row>
    <row r="32" spans="2:63" ht="15.75" thickBot="1" x14ac:dyDescent="0.3">
      <c r="B32" s="222" t="s">
        <v>27</v>
      </c>
      <c r="C32" s="223"/>
      <c r="D32" s="27">
        <f>D28*D30</f>
        <v>0</v>
      </c>
      <c r="H32" s="18"/>
      <c r="I32" s="18"/>
      <c r="J32" s="43"/>
      <c r="K32" s="44"/>
      <c r="L32" s="44"/>
      <c r="M32" s="44"/>
      <c r="N32" s="44"/>
      <c r="O32" s="44"/>
      <c r="P32" s="44"/>
      <c r="Q32" s="44"/>
      <c r="R32" s="44"/>
      <c r="S32" s="44"/>
      <c r="T32" s="45"/>
      <c r="U32" s="34">
        <f t="shared" si="8"/>
        <v>0</v>
      </c>
      <c r="V32" s="35">
        <f t="shared" si="4"/>
        <v>0</v>
      </c>
      <c r="W32" s="35">
        <f t="shared" si="17"/>
        <v>0</v>
      </c>
      <c r="X32" s="35">
        <f t="shared" si="6"/>
        <v>0</v>
      </c>
      <c r="Y32" s="35">
        <f t="shared" si="7"/>
        <v>0</v>
      </c>
      <c r="Z32" s="35">
        <f t="shared" si="18"/>
        <v>0</v>
      </c>
      <c r="AA32" s="35">
        <f t="shared" si="19"/>
        <v>0</v>
      </c>
      <c r="AB32" s="35">
        <f t="shared" si="20"/>
        <v>0</v>
      </c>
      <c r="AC32" s="35">
        <f t="shared" si="2"/>
        <v>0</v>
      </c>
      <c r="AD32" s="36">
        <f t="shared" si="3"/>
        <v>0</v>
      </c>
      <c r="AE32" s="37">
        <f>((Branco!$P$10-U32)/(Branco!$P$10))*100</f>
        <v>100</v>
      </c>
      <c r="AF32" s="97"/>
      <c r="AG32" s="102" t="e">
        <f t="shared" si="21"/>
        <v>#DIV/0!</v>
      </c>
      <c r="AH32" s="102" t="e">
        <f t="shared" si="22"/>
        <v>#DIV/0!</v>
      </c>
      <c r="AI32" s="102" t="e">
        <f t="shared" si="23"/>
        <v>#DIV/0!</v>
      </c>
      <c r="AJ32" s="102" t="e">
        <f t="shared" si="24"/>
        <v>#DIV/0!</v>
      </c>
      <c r="AK32" s="102" t="e">
        <f t="shared" si="25"/>
        <v>#DIV/0!</v>
      </c>
      <c r="AL32" s="102" t="e">
        <f t="shared" si="26"/>
        <v>#DIV/0!</v>
      </c>
      <c r="AM32" s="102" t="e">
        <f t="shared" si="27"/>
        <v>#DIV/0!</v>
      </c>
      <c r="AN32" s="97" t="e">
        <f t="shared" si="52"/>
        <v>#DIV/0!</v>
      </c>
      <c r="AO32" s="38" t="e">
        <f t="shared" si="29"/>
        <v>#DIV/0!</v>
      </c>
      <c r="AP32" s="38" t="e">
        <f t="shared" si="30"/>
        <v>#DIV/0!</v>
      </c>
      <c r="AQ32" s="38" t="e">
        <f t="shared" si="31"/>
        <v>#DIV/0!</v>
      </c>
      <c r="AR32" s="38" t="e">
        <f t="shared" si="32"/>
        <v>#DIV/0!</v>
      </c>
      <c r="AS32" s="38" t="e">
        <f t="shared" si="33"/>
        <v>#DIV/0!</v>
      </c>
      <c r="AT32" s="151">
        <f t="shared" si="53"/>
        <v>0</v>
      </c>
      <c r="AU32" s="38" t="e">
        <f t="shared" si="35"/>
        <v>#DIV/0!</v>
      </c>
      <c r="AV32" s="97">
        <f>(((U32*3)+(V32*3)+(2*W32)+(2*X32)+(Y32)+(Z32)+(AB32)))/((Branco!$P$10*3))*100</f>
        <v>0</v>
      </c>
      <c r="AW32" s="15" t="e">
        <f>AG32*AE32/100</f>
        <v>#DIV/0!</v>
      </c>
      <c r="AX32" s="186" t="e">
        <f t="shared" si="55"/>
        <v>#DIV/0!</v>
      </c>
      <c r="AY32" s="152" t="e">
        <f t="shared" si="45"/>
        <v>#DIV/0!</v>
      </c>
      <c r="AZ32" s="152" t="e">
        <f t="shared" si="46"/>
        <v>#DIV/0!</v>
      </c>
      <c r="BA32" s="152" t="e">
        <f t="shared" si="47"/>
        <v>#DIV/0!</v>
      </c>
      <c r="BB32" s="152" t="e">
        <f t="shared" si="48"/>
        <v>#DIV/0!</v>
      </c>
      <c r="BC32" s="153" t="e">
        <f t="shared" si="49"/>
        <v>#DIV/0!</v>
      </c>
      <c r="BD32" s="102" t="e">
        <f t="shared" si="38"/>
        <v>#DIV/0!</v>
      </c>
      <c r="BE32" s="152" t="e">
        <f t="shared" si="39"/>
        <v>#DIV/0!</v>
      </c>
      <c r="BF32" s="98" t="e">
        <f t="shared" si="40"/>
        <v>#DIV/0!</v>
      </c>
      <c r="BG32" s="98" t="e">
        <f t="shared" si="41"/>
        <v>#DIV/0!</v>
      </c>
      <c r="BH32" s="98" t="e">
        <f t="shared" si="42"/>
        <v>#DIV/0!</v>
      </c>
      <c r="BI32" s="15" t="e">
        <f t="shared" si="43"/>
        <v>#DIV/0!</v>
      </c>
      <c r="BJ32" s="109">
        <f t="shared" si="50"/>
        <v>0</v>
      </c>
      <c r="BK32" s="1" t="e">
        <f t="shared" si="51"/>
        <v>#DIV/0!</v>
      </c>
    </row>
    <row r="33" spans="2:56" x14ac:dyDescent="0.25">
      <c r="AE33" s="95" t="s">
        <v>50</v>
      </c>
      <c r="AX33" s="182">
        <f>AVERAGE(AX9:AX28)</f>
        <v>3.1554811222154214E-2</v>
      </c>
      <c r="BD33" s="39">
        <f t="shared" si="38"/>
        <v>1.3505459203082002</v>
      </c>
    </row>
    <row r="34" spans="2:56" ht="15.75" thickBot="1" x14ac:dyDescent="0.3">
      <c r="B34" s="28">
        <f>D28*0.24</f>
        <v>1.9603191543339994E-6</v>
      </c>
      <c r="C34" s="1">
        <v>1028</v>
      </c>
      <c r="AE34" s="96">
        <f>AVERAGE(AE12:AE28)</f>
        <v>4.9889098553315474</v>
      </c>
    </row>
    <row r="35" spans="2:56" ht="15.75" thickBot="1" x14ac:dyDescent="0.3">
      <c r="B35" s="28">
        <f>B34/C37</f>
        <v>1.9137512082661891E-9</v>
      </c>
      <c r="C35">
        <v>1009</v>
      </c>
    </row>
    <row r="36" spans="2:56" ht="15.75" customHeight="1" thickBot="1" x14ac:dyDescent="0.3">
      <c r="C36">
        <v>1036</v>
      </c>
      <c r="F36" s="243" t="s">
        <v>58</v>
      </c>
      <c r="G36" s="217" t="s">
        <v>73</v>
      </c>
      <c r="H36" s="226"/>
      <c r="I36" s="226"/>
      <c r="J36" s="226"/>
      <c r="K36" s="226"/>
      <c r="L36" s="226"/>
      <c r="M36" s="226"/>
      <c r="N36" s="218"/>
      <c r="O36" s="179"/>
      <c r="P36" s="235" t="s">
        <v>34</v>
      </c>
      <c r="Q36" s="224" t="s">
        <v>74</v>
      </c>
      <c r="R36" s="224" t="s">
        <v>75</v>
      </c>
      <c r="S36" s="224" t="s">
        <v>80</v>
      </c>
      <c r="T36" s="224" t="s">
        <v>81</v>
      </c>
      <c r="U36" s="224" t="s">
        <v>82</v>
      </c>
      <c r="V36" s="227" t="s">
        <v>36</v>
      </c>
      <c r="W36" s="237" t="s">
        <v>49</v>
      </c>
      <c r="X36" s="237" t="s">
        <v>59</v>
      </c>
    </row>
    <row r="37" spans="2:56" ht="15.75" thickBot="1" x14ac:dyDescent="0.3">
      <c r="C37" s="1">
        <f>AVERAGE(C34:C36)</f>
        <v>1024.3333333333333</v>
      </c>
      <c r="F37" s="244"/>
      <c r="G37" s="123" t="s">
        <v>68</v>
      </c>
      <c r="H37" s="167" t="s">
        <v>37</v>
      </c>
      <c r="I37" s="167" t="s">
        <v>38</v>
      </c>
      <c r="J37" s="167" t="s">
        <v>39</v>
      </c>
      <c r="K37" s="167" t="s">
        <v>10</v>
      </c>
      <c r="L37" s="167" t="s">
        <v>8</v>
      </c>
      <c r="M37" s="167" t="s">
        <v>11</v>
      </c>
      <c r="N37" s="168" t="s">
        <v>35</v>
      </c>
      <c r="O37" s="168"/>
      <c r="P37" s="236"/>
      <c r="Q37" s="225"/>
      <c r="R37" s="229"/>
      <c r="S37" s="229"/>
      <c r="T37" s="229"/>
      <c r="U37" s="229"/>
      <c r="V37" s="228"/>
      <c r="W37" s="238"/>
      <c r="X37" s="238"/>
    </row>
    <row r="38" spans="2:56" x14ac:dyDescent="0.25">
      <c r="F38" s="95">
        <v>1</v>
      </c>
      <c r="G38" s="23">
        <f>AVERAGE(AL9:AL12)</f>
        <v>36.353666568888634</v>
      </c>
      <c r="H38" s="148">
        <f t="shared" ref="H38:J38" si="56">AVERAGE(AG9:AG12)</f>
        <v>33.766680340732201</v>
      </c>
      <c r="I38" s="148">
        <f t="shared" si="56"/>
        <v>0</v>
      </c>
      <c r="J38" s="148">
        <f t="shared" si="56"/>
        <v>0</v>
      </c>
      <c r="K38" s="148">
        <f>AVERAGE(AJ9:AJ12)</f>
        <v>0</v>
      </c>
      <c r="L38" s="148">
        <f>AVERAGE(AK9:AK12)</f>
        <v>17.269477423290724</v>
      </c>
      <c r="M38" s="148">
        <f>AVERAGE(AN9:AN12)</f>
        <v>21.576180228025638</v>
      </c>
      <c r="N38" s="37">
        <f>AVERAGE(AM9:AM12)</f>
        <v>1.3273378296997445</v>
      </c>
      <c r="O38" s="37"/>
      <c r="P38" s="132">
        <f>AVERAGE(AE9:AE12)</f>
        <v>11.878869136292913</v>
      </c>
      <c r="Q38" s="169">
        <f>AVERAGE(AO10:AO12)</f>
        <v>86.988507990861535</v>
      </c>
      <c r="R38" s="129">
        <f>AVERAGE(AQ10:AQ12)</f>
        <v>0</v>
      </c>
      <c r="S38" s="129">
        <f>AVERAGE(AR10:AR12)</f>
        <v>12.017185449040992</v>
      </c>
      <c r="T38" s="129">
        <f t="shared" ref="T38:U42" si="57">AVERAGE(AS10:AS12)</f>
        <v>0.99430656009747531</v>
      </c>
      <c r="U38" s="129">
        <f t="shared" si="57"/>
        <v>0</v>
      </c>
      <c r="V38" s="132">
        <f>AVERAGE(AV9:AV12)</f>
        <v>91.81674171915617</v>
      </c>
      <c r="W38" s="129">
        <f>AVERAGE(AW9:AW12)</f>
        <v>8.9949999456287486</v>
      </c>
      <c r="X38" s="132">
        <f>AVERAGE(BD9:BD12)</f>
        <v>2.3312822044126382</v>
      </c>
    </row>
    <row r="39" spans="2:56" x14ac:dyDescent="0.25">
      <c r="F39" s="115">
        <v>2</v>
      </c>
      <c r="G39" s="23">
        <f>AVERAGE(AL13:AL16)</f>
        <v>14.085112795244367</v>
      </c>
      <c r="H39" s="148">
        <f t="shared" ref="H39:J39" si="58">AVERAGE(AG13:AG16)</f>
        <v>48.132767104461379</v>
      </c>
      <c r="I39" s="148">
        <f t="shared" si="58"/>
        <v>0</v>
      </c>
      <c r="J39" s="148">
        <f t="shared" si="58"/>
        <v>0</v>
      </c>
      <c r="K39" s="148">
        <f>AVERAGE(AJ13:AJ16)</f>
        <v>0</v>
      </c>
      <c r="L39" s="148">
        <f>AVERAGE(AK13:AK16)</f>
        <v>12.137311587660598</v>
      </c>
      <c r="M39" s="148">
        <f>AVERAGE(AN13:AN16)</f>
        <v>25.989725274428565</v>
      </c>
      <c r="N39" s="37">
        <f>AVERAGE(AM13:AM16)</f>
        <v>1.4535354005765799</v>
      </c>
      <c r="O39" s="37"/>
      <c r="P39" s="133">
        <f>AVERAGE(AE13,AE14,AE16)</f>
        <v>5.6951479237704303</v>
      </c>
      <c r="Q39" s="170">
        <f>AVERAGE(AO13:AO14)</f>
        <v>90.34160404648712</v>
      </c>
      <c r="R39" s="130">
        <f>AVERAGE(AQ13:AQ14)</f>
        <v>0</v>
      </c>
      <c r="S39" s="130">
        <f t="shared" ref="S39:S42" si="59">AVERAGE(AR11:AR13)</f>
        <v>9.8497354521315668</v>
      </c>
      <c r="T39" s="130">
        <f t="shared" si="57"/>
        <v>0.9082068597224987</v>
      </c>
      <c r="U39" s="130">
        <f t="shared" si="57"/>
        <v>0</v>
      </c>
      <c r="V39" s="133">
        <f>AVERAGE(AV13:AV16)</f>
        <v>96.361006906766491</v>
      </c>
      <c r="W39" s="130">
        <f>AVERAGE(AW13:AW16)</f>
        <v>4.5302667541991228</v>
      </c>
      <c r="X39" s="133">
        <f>AVERAGE(BD13:BD16)</f>
        <v>1.1741334440406583</v>
      </c>
    </row>
    <row r="40" spans="2:56" x14ac:dyDescent="0.25">
      <c r="F40" s="115">
        <v>3</v>
      </c>
      <c r="G40" s="23">
        <f>AVERAGE(AL17:AL20)</f>
        <v>11.640189082912663</v>
      </c>
      <c r="H40" s="148">
        <f t="shared" ref="H40:J40" si="60">AVERAGE(AG18:AG21)</f>
        <v>58.21183163233799</v>
      </c>
      <c r="I40" s="148">
        <f t="shared" si="60"/>
        <v>0</v>
      </c>
      <c r="J40" s="148">
        <f t="shared" si="60"/>
        <v>0</v>
      </c>
      <c r="K40" s="148">
        <f>AVERAGE(AJ18:AJ21)</f>
        <v>0</v>
      </c>
      <c r="L40" s="148">
        <f>AVERAGE(AK18:AK21)</f>
        <v>10.267336352176869</v>
      </c>
      <c r="M40" s="148">
        <f>AVERAGE(AN18:AN21)</f>
        <v>19.093982085061956</v>
      </c>
      <c r="N40" s="37">
        <f>AVERAGE(AM18:AM21)</f>
        <v>2.2417007781832283</v>
      </c>
      <c r="O40" s="37"/>
      <c r="P40" s="133">
        <f>AVERAGE(AE18:AE21)</f>
        <v>4.6661369881153396</v>
      </c>
      <c r="Q40" s="170">
        <f>AVERAGE(AO17:AO20)</f>
        <v>93.275143097028959</v>
      </c>
      <c r="R40" s="130">
        <f>AVERAGE(AQ17:AQ20)</f>
        <v>0</v>
      </c>
      <c r="S40" s="130">
        <f t="shared" si="59"/>
        <v>8.9498846186506036</v>
      </c>
      <c r="T40" s="130">
        <f t="shared" si="57"/>
        <v>0.89320651813841689</v>
      </c>
      <c r="U40" s="130">
        <f t="shared" si="57"/>
        <v>0</v>
      </c>
      <c r="V40" s="133">
        <f>AVERAGE(AV18:AV21)</f>
        <v>96.340990409069875</v>
      </c>
      <c r="W40" s="130">
        <f>AVERAGE(AW18:AW21)</f>
        <v>4.1763602438392589</v>
      </c>
      <c r="X40" s="133">
        <f>AVERAGE(BD18:BD21)</f>
        <v>1.0824096025048198</v>
      </c>
    </row>
    <row r="41" spans="2:56" x14ac:dyDescent="0.25">
      <c r="F41" s="115">
        <v>4</v>
      </c>
      <c r="G41" s="23">
        <f>AVERAGE(AL21:AL24)</f>
        <v>11.629756655802362</v>
      </c>
      <c r="H41" s="148">
        <f t="shared" ref="H41:J41" si="61">AVERAGE(AG22:AG25)</f>
        <v>63.371195047722644</v>
      </c>
      <c r="I41" s="148">
        <f t="shared" si="61"/>
        <v>0</v>
      </c>
      <c r="J41" s="148">
        <f t="shared" si="61"/>
        <v>0</v>
      </c>
      <c r="K41" s="148">
        <f>AVERAGE(AJ22:AJ25)</f>
        <v>0</v>
      </c>
      <c r="L41" s="148">
        <f>AVERAGE(AK22:AK25)</f>
        <v>9.4838149685155049</v>
      </c>
      <c r="M41" s="148">
        <f>AVERAGE(AN22:AN25)</f>
        <v>14.496712639344906</v>
      </c>
      <c r="N41" s="37">
        <f>AVERAGE(AM22:AM25)</f>
        <v>2.4247719478174292</v>
      </c>
      <c r="O41" s="37"/>
      <c r="P41" s="133">
        <f>AVERAGE(AE22:AE25)</f>
        <v>4.3433641208991327</v>
      </c>
      <c r="Q41" s="170">
        <f>AVERAGE(AO22,AO24)</f>
        <v>94.146575203230199</v>
      </c>
      <c r="R41" s="130">
        <f>AVERAGE(AQ22,AQ24)</f>
        <v>0</v>
      </c>
      <c r="S41" s="130">
        <f t="shared" si="59"/>
        <v>8.1743277861785124</v>
      </c>
      <c r="T41" s="130">
        <f t="shared" si="57"/>
        <v>0.90187932233207357</v>
      </c>
      <c r="U41" s="130">
        <f t="shared" si="57"/>
        <v>0</v>
      </c>
      <c r="V41" s="133">
        <f>AVERAGE(AV22:AV25)</f>
        <v>96.581396624050683</v>
      </c>
      <c r="W41" s="130">
        <f>AVERAGE(AW22:AW25)</f>
        <v>3.9435185134822879</v>
      </c>
      <c r="X41" s="133">
        <f>AVERAGE(BD22:BD25)</f>
        <v>1.0220627669620757</v>
      </c>
    </row>
    <row r="42" spans="2:56" ht="15.75" thickBot="1" x14ac:dyDescent="0.3">
      <c r="F42" s="116">
        <v>5</v>
      </c>
      <c r="G42" s="152">
        <f>AVERAGE(AL25:AL28)</f>
        <v>10.792594981295307</v>
      </c>
      <c r="H42" s="154">
        <f>AVERAGE(AG26:AG28)</f>
        <v>65.917393983786127</v>
      </c>
      <c r="I42" s="154">
        <f>AVERAGE(AH26:AH28)</f>
        <v>0</v>
      </c>
      <c r="J42" s="154">
        <f>AVERAGE(AI26:AI28)</f>
        <v>0</v>
      </c>
      <c r="K42" s="154">
        <f>AVERAGE(AJ26:AJ28)</f>
        <v>0</v>
      </c>
      <c r="L42" s="154">
        <f>AVERAGE(AK26:AK28)</f>
        <v>9.1982759032750874</v>
      </c>
      <c r="M42" s="154">
        <f>AVERAGE(AN26:AN28)</f>
        <v>13.761338505733695</v>
      </c>
      <c r="N42" s="155">
        <f>AVERAGE(AM26:AM28)</f>
        <v>2.8302813047766153</v>
      </c>
      <c r="O42" s="155"/>
      <c r="P42" s="134">
        <f>AVERAGE(AE26:AE28)</f>
        <v>4.7406230343960019</v>
      </c>
      <c r="Q42" s="171">
        <f>AVERAGE(AO26,AO28)</f>
        <v>94.145755708198905</v>
      </c>
      <c r="R42" s="131">
        <f>AVERAGE(AQ26,AQ28)</f>
        <v>0</v>
      </c>
      <c r="S42" s="131">
        <f t="shared" si="59"/>
        <v>7.5164254559097543</v>
      </c>
      <c r="T42" s="131">
        <f t="shared" si="57"/>
        <v>0.94356345366100258</v>
      </c>
      <c r="U42" s="131">
        <f t="shared" si="57"/>
        <v>0</v>
      </c>
      <c r="V42" s="134">
        <f>AVERAGE(AV26:AV28)</f>
        <v>96.151826705619797</v>
      </c>
      <c r="W42" s="131">
        <f>AVERAGE(AW23:AW26)</f>
        <v>4.0644052010246208</v>
      </c>
      <c r="X42" s="134">
        <f>AVERAGE(BD23:BD26)</f>
        <v>1.0533936157804558</v>
      </c>
    </row>
    <row r="43" spans="2:56" x14ac:dyDescent="0.25">
      <c r="P43" s="128"/>
    </row>
  </sheetData>
  <mergeCells count="38">
    <mergeCell ref="AQ3:AQ4"/>
    <mergeCell ref="AR3:AR4"/>
    <mergeCell ref="AS3:AS4"/>
    <mergeCell ref="H2:I2"/>
    <mergeCell ref="H3:H4"/>
    <mergeCell ref="I3:I4"/>
    <mergeCell ref="J3:T3"/>
    <mergeCell ref="U3:AD3"/>
    <mergeCell ref="AE3:AE4"/>
    <mergeCell ref="AP3:AP4"/>
    <mergeCell ref="Q36:Q37"/>
    <mergeCell ref="BK3:BK4"/>
    <mergeCell ref="B21:B23"/>
    <mergeCell ref="B24:B26"/>
    <mergeCell ref="B28:C28"/>
    <mergeCell ref="B29:C29"/>
    <mergeCell ref="B30:C30"/>
    <mergeCell ref="AT3:AT4"/>
    <mergeCell ref="AV3:AV4"/>
    <mergeCell ref="AW3:AW4"/>
    <mergeCell ref="AX3:BC3"/>
    <mergeCell ref="BD3:BI3"/>
    <mergeCell ref="BJ3:BJ4"/>
    <mergeCell ref="AF3:AF4"/>
    <mergeCell ref="AG3:AN3"/>
    <mergeCell ref="AO3:AO4"/>
    <mergeCell ref="B31:C31"/>
    <mergeCell ref="B32:C32"/>
    <mergeCell ref="F36:F37"/>
    <mergeCell ref="G36:N36"/>
    <mergeCell ref="P36:P37"/>
    <mergeCell ref="X36:X37"/>
    <mergeCell ref="R36:R37"/>
    <mergeCell ref="S36:S37"/>
    <mergeCell ref="T36:T37"/>
    <mergeCell ref="U36:U37"/>
    <mergeCell ref="V36:V37"/>
    <mergeCell ref="W36:W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041F7-8942-4E4D-821A-15D831242B84}">
  <dimension ref="A1:X23"/>
  <sheetViews>
    <sheetView zoomScale="90" zoomScaleNormal="90" workbookViewId="0">
      <selection activeCell="M22" sqref="M22"/>
    </sheetView>
  </sheetViews>
  <sheetFormatPr defaultRowHeight="15" x14ac:dyDescent="0.25"/>
  <cols>
    <col min="1" max="1" width="20.7109375" bestFit="1" customWidth="1"/>
    <col min="3" max="3" width="12" bestFit="1" customWidth="1"/>
    <col min="4" max="4" width="13.28515625" bestFit="1" customWidth="1"/>
    <col min="5" max="5" width="13.42578125" bestFit="1" customWidth="1"/>
    <col min="6" max="6" width="11.5703125" bestFit="1" customWidth="1"/>
    <col min="7" max="7" width="10.85546875" bestFit="1" customWidth="1"/>
    <col min="10" max="10" width="10.85546875" bestFit="1" customWidth="1"/>
    <col min="11" max="11" width="10.28515625" bestFit="1" customWidth="1"/>
    <col min="12" max="12" width="9.7109375" bestFit="1" customWidth="1"/>
    <col min="13" max="13" width="9.5703125" bestFit="1" customWidth="1"/>
    <col min="16" max="16" width="13.28515625" bestFit="1" customWidth="1"/>
    <col min="17" max="17" width="13.42578125" bestFit="1" customWidth="1"/>
    <col min="18" max="18" width="11.28515625" bestFit="1" customWidth="1"/>
    <col min="19" max="19" width="10.85546875" bestFit="1" customWidth="1"/>
    <col min="21" max="21" width="11.28515625" bestFit="1" customWidth="1"/>
    <col min="22" max="22" width="10.28515625" bestFit="1" customWidth="1"/>
    <col min="23" max="23" width="11.28515625" bestFit="1" customWidth="1"/>
  </cols>
  <sheetData>
    <row r="1" spans="1:24" ht="15.75" thickBot="1" x14ac:dyDescent="0.3">
      <c r="C1" s="113" t="s">
        <v>55</v>
      </c>
      <c r="D1" s="110">
        <v>4.5999999999999996</v>
      </c>
      <c r="E1" s="110"/>
      <c r="F1" s="110">
        <v>3.1</v>
      </c>
      <c r="G1" s="110"/>
      <c r="H1" s="110"/>
      <c r="I1" s="110"/>
      <c r="J1" s="110">
        <v>2.5</v>
      </c>
      <c r="K1" s="110"/>
      <c r="L1" s="110">
        <v>6.6</v>
      </c>
      <c r="M1" s="110"/>
      <c r="O1" s="213" t="s">
        <v>57</v>
      </c>
      <c r="P1" s="213"/>
      <c r="Q1" s="213"/>
      <c r="R1" s="213"/>
      <c r="S1" s="213"/>
      <c r="T1" s="213"/>
      <c r="U1" s="213"/>
      <c r="V1" s="213"/>
      <c r="W1" s="213"/>
      <c r="X1" s="213"/>
    </row>
    <row r="2" spans="1:24" ht="15.75" thickBot="1" x14ac:dyDescent="0.3">
      <c r="A2" s="114" t="s">
        <v>61</v>
      </c>
      <c r="C2" s="117" t="s">
        <v>56</v>
      </c>
      <c r="D2" s="111" t="s">
        <v>40</v>
      </c>
      <c r="E2" s="111" t="s">
        <v>41</v>
      </c>
      <c r="F2" s="111" t="s">
        <v>42</v>
      </c>
      <c r="G2" s="111" t="s">
        <v>43</v>
      </c>
      <c r="H2" s="111" t="s">
        <v>44</v>
      </c>
      <c r="I2" s="111" t="s">
        <v>13</v>
      </c>
      <c r="J2" s="111" t="s">
        <v>45</v>
      </c>
      <c r="K2" s="111" t="s">
        <v>46</v>
      </c>
      <c r="L2" s="111" t="s">
        <v>47</v>
      </c>
      <c r="M2" s="112" t="s">
        <v>48</v>
      </c>
      <c r="O2" s="114" t="s">
        <v>56</v>
      </c>
      <c r="P2" s="124" t="s">
        <v>40</v>
      </c>
      <c r="Q2" s="124" t="s">
        <v>41</v>
      </c>
      <c r="R2" s="124" t="s">
        <v>42</v>
      </c>
      <c r="S2" s="124" t="s">
        <v>43</v>
      </c>
      <c r="T2" s="124" t="s">
        <v>44</v>
      </c>
      <c r="U2" s="124" t="s">
        <v>45</v>
      </c>
      <c r="V2" s="124" t="s">
        <v>46</v>
      </c>
      <c r="W2" s="124" t="s">
        <v>47</v>
      </c>
      <c r="X2" s="125" t="s">
        <v>48</v>
      </c>
    </row>
    <row r="3" spans="1:24" ht="15" customHeight="1" x14ac:dyDescent="0.25">
      <c r="A3" s="214" t="s">
        <v>71</v>
      </c>
      <c r="C3" s="115">
        <v>1</v>
      </c>
      <c r="D3" s="118">
        <v>37939</v>
      </c>
      <c r="E3" s="119"/>
      <c r="F3" s="119">
        <v>29</v>
      </c>
      <c r="G3" s="119"/>
      <c r="H3" s="119"/>
      <c r="I3" s="119">
        <v>47816</v>
      </c>
      <c r="J3" s="119"/>
      <c r="K3" s="119"/>
      <c r="L3" s="119"/>
      <c r="M3" s="120"/>
      <c r="O3" s="95">
        <v>1</v>
      </c>
      <c r="P3" s="126">
        <f>D3*$C$14</f>
        <v>5.670961094415214E-6</v>
      </c>
      <c r="Q3" s="119"/>
      <c r="R3" s="126">
        <f>F3*$C$16</f>
        <v>4.2905645955268682E-9</v>
      </c>
      <c r="S3" s="119"/>
      <c r="T3" s="119"/>
      <c r="U3" s="126"/>
      <c r="V3" s="119"/>
      <c r="W3" s="142">
        <f>L3*C21</f>
        <v>0</v>
      </c>
      <c r="X3" s="120"/>
    </row>
    <row r="4" spans="1:24" ht="14.25" customHeight="1" x14ac:dyDescent="0.25">
      <c r="A4" s="214"/>
      <c r="C4" s="115">
        <v>2</v>
      </c>
      <c r="D4" s="5">
        <v>37759</v>
      </c>
      <c r="E4" s="3"/>
      <c r="F4" s="3">
        <v>27</v>
      </c>
      <c r="G4" s="3"/>
      <c r="H4" s="3"/>
      <c r="I4" s="3">
        <v>47330</v>
      </c>
      <c r="J4" s="3"/>
      <c r="K4" s="3"/>
      <c r="L4" s="3"/>
      <c r="M4" s="121"/>
      <c r="O4" s="115">
        <v>2</v>
      </c>
      <c r="P4" s="109">
        <f t="shared" ref="P4:P5" si="0">D4*$C$14</f>
        <v>5.6440554564965884E-6</v>
      </c>
      <c r="Q4" s="3"/>
      <c r="R4" s="109">
        <f t="shared" ref="R4:R9" si="1">F4*$C$16</f>
        <v>3.9946635889388083E-9</v>
      </c>
      <c r="S4" s="3"/>
      <c r="T4" s="3"/>
      <c r="U4" s="109"/>
      <c r="V4" s="3"/>
      <c r="W4" s="143">
        <f t="shared" ref="W4:W9" si="2">L4*C22</f>
        <v>0</v>
      </c>
      <c r="X4" s="121"/>
    </row>
    <row r="5" spans="1:24" ht="15.75" thickBot="1" x14ac:dyDescent="0.3">
      <c r="A5" s="215"/>
      <c r="C5" s="115">
        <v>3</v>
      </c>
      <c r="D5" s="5">
        <v>37413</v>
      </c>
      <c r="E5" s="3"/>
      <c r="F5" s="3">
        <v>23</v>
      </c>
      <c r="G5" s="3"/>
      <c r="H5" s="3"/>
      <c r="I5" s="3">
        <v>47472</v>
      </c>
      <c r="J5" s="3"/>
      <c r="K5" s="3"/>
      <c r="L5" s="3"/>
      <c r="M5" s="121"/>
      <c r="O5" s="115">
        <v>3</v>
      </c>
      <c r="P5" s="109">
        <f t="shared" si="0"/>
        <v>5.592336841386341E-6</v>
      </c>
      <c r="Q5" s="3"/>
      <c r="R5" s="109">
        <f t="shared" si="1"/>
        <v>3.4028615757626883E-9</v>
      </c>
      <c r="S5" s="3"/>
      <c r="T5" s="3"/>
      <c r="U5" s="109"/>
      <c r="V5" s="3"/>
      <c r="W5" s="143">
        <f t="shared" si="2"/>
        <v>0</v>
      </c>
      <c r="X5" s="121"/>
    </row>
    <row r="6" spans="1:24" x14ac:dyDescent="0.25">
      <c r="C6" s="115">
        <v>4</v>
      </c>
      <c r="D6" s="5"/>
      <c r="E6" s="3"/>
      <c r="F6" s="3"/>
      <c r="G6" s="3"/>
      <c r="H6" s="3"/>
      <c r="I6" s="3"/>
      <c r="J6" s="3"/>
      <c r="K6" s="3"/>
      <c r="L6" s="3"/>
      <c r="M6" s="121"/>
      <c r="O6" s="115">
        <v>4</v>
      </c>
      <c r="P6" s="109">
        <f>D6*$C$14</f>
        <v>0</v>
      </c>
      <c r="Q6" s="3"/>
      <c r="R6" s="109">
        <f t="shared" si="1"/>
        <v>0</v>
      </c>
      <c r="S6" s="3"/>
      <c r="T6" s="3"/>
      <c r="U6" s="109"/>
      <c r="V6" s="3"/>
      <c r="W6" s="143">
        <f t="shared" si="2"/>
        <v>0</v>
      </c>
      <c r="X6" s="121"/>
    </row>
    <row r="7" spans="1:24" x14ac:dyDescent="0.25">
      <c r="A7">
        <v>0</v>
      </c>
      <c r="B7" t="s">
        <v>12</v>
      </c>
      <c r="C7" s="115">
        <v>5</v>
      </c>
      <c r="D7" s="5"/>
      <c r="E7" s="3"/>
      <c r="F7" s="3"/>
      <c r="G7" s="3"/>
      <c r="H7" s="3"/>
      <c r="I7" s="3"/>
      <c r="J7" s="3"/>
      <c r="K7" s="3"/>
      <c r="L7" s="3"/>
      <c r="M7" s="121"/>
      <c r="O7" s="115">
        <v>5</v>
      </c>
      <c r="P7" s="109">
        <f t="shared" ref="P7:P9" si="3">D7*$C$14</f>
        <v>0</v>
      </c>
      <c r="Q7" s="3"/>
      <c r="R7" s="109">
        <f t="shared" si="1"/>
        <v>0</v>
      </c>
      <c r="S7" s="3"/>
      <c r="T7" s="3"/>
      <c r="U7" s="109"/>
      <c r="V7" s="3"/>
      <c r="W7" s="143">
        <f t="shared" si="2"/>
        <v>0</v>
      </c>
      <c r="X7" s="121"/>
    </row>
    <row r="8" spans="1:24" x14ac:dyDescent="0.25">
      <c r="A8" t="s">
        <v>98</v>
      </c>
      <c r="B8" t="s">
        <v>18</v>
      </c>
      <c r="C8" s="115">
        <v>6</v>
      </c>
      <c r="G8" s="3"/>
      <c r="H8" s="3"/>
      <c r="I8" s="3"/>
      <c r="J8" s="3"/>
      <c r="K8" s="3"/>
      <c r="L8" s="3"/>
      <c r="M8" s="121"/>
      <c r="O8" s="115">
        <v>6</v>
      </c>
      <c r="P8" s="109">
        <f t="shared" si="3"/>
        <v>0</v>
      </c>
      <c r="Q8" s="3"/>
      <c r="R8" s="109">
        <f t="shared" si="1"/>
        <v>0</v>
      </c>
      <c r="S8" s="3"/>
      <c r="T8" s="3"/>
      <c r="U8" s="109"/>
      <c r="V8" s="3"/>
      <c r="W8" s="143">
        <f t="shared" si="2"/>
        <v>0</v>
      </c>
      <c r="X8" s="121"/>
    </row>
    <row r="9" spans="1:24" ht="15.75" thickBot="1" x14ac:dyDescent="0.3">
      <c r="A9" t="s">
        <v>99</v>
      </c>
      <c r="B9" t="s">
        <v>13</v>
      </c>
      <c r="C9" s="116">
        <v>7</v>
      </c>
      <c r="D9" s="6"/>
      <c r="E9" s="7"/>
      <c r="F9" s="7"/>
      <c r="G9" s="7"/>
      <c r="H9" s="7"/>
      <c r="I9" s="7"/>
      <c r="J9" s="7"/>
      <c r="K9" s="7"/>
      <c r="L9" s="7"/>
      <c r="M9" s="122"/>
      <c r="O9" s="116">
        <v>7</v>
      </c>
      <c r="P9" s="109">
        <f t="shared" si="3"/>
        <v>0</v>
      </c>
      <c r="Q9" s="7"/>
      <c r="R9" s="109">
        <f t="shared" si="1"/>
        <v>0</v>
      </c>
      <c r="S9" s="7"/>
      <c r="T9" s="7"/>
      <c r="U9" s="127"/>
      <c r="V9" s="7"/>
      <c r="W9" s="143">
        <f t="shared" si="2"/>
        <v>0</v>
      </c>
      <c r="X9" s="122"/>
    </row>
    <row r="10" spans="1:24" ht="15.75" thickBot="1" x14ac:dyDescent="0.3">
      <c r="C10" s="138" t="s">
        <v>60</v>
      </c>
      <c r="D10" s="165">
        <f>AVERAGE(D3:D5)</f>
        <v>37703.666666666664</v>
      </c>
      <c r="E10" s="135"/>
      <c r="F10" s="136">
        <f>AVERAGE(F3:F5)</f>
        <v>26.333333333333332</v>
      </c>
      <c r="G10" s="135"/>
      <c r="H10" s="135"/>
      <c r="I10" s="135"/>
      <c r="J10" s="136" t="e">
        <f>AVERAGE(J3:J9)</f>
        <v>#DIV/0!</v>
      </c>
      <c r="K10" s="135"/>
      <c r="L10" s="141" t="e">
        <f>AVERAGE(L3:L7)</f>
        <v>#DIV/0!</v>
      </c>
      <c r="M10" s="137"/>
      <c r="O10" s="138" t="s">
        <v>60</v>
      </c>
      <c r="P10" s="139">
        <f>AVERAGE(P3:P5)</f>
        <v>5.6357844640993814E-6</v>
      </c>
      <c r="Q10" s="135"/>
      <c r="R10" s="139">
        <f>AVERAGE(R3:R7)</f>
        <v>2.3376179520456729E-9</v>
      </c>
      <c r="S10" s="135"/>
      <c r="T10" s="135"/>
      <c r="U10" s="139" t="e">
        <f>AVERAGE(U3:U7)</f>
        <v>#DIV/0!</v>
      </c>
      <c r="V10" s="135"/>
      <c r="W10" s="144">
        <f>AVERAGE(W3:W7)</f>
        <v>0</v>
      </c>
      <c r="X10" s="137"/>
    </row>
    <row r="12" spans="1:24" ht="15.75" thickBot="1" x14ac:dyDescent="0.3"/>
    <row r="13" spans="1:24" ht="15.75" thickBot="1" x14ac:dyDescent="0.3">
      <c r="A13" s="8" t="s">
        <v>4</v>
      </c>
      <c r="B13" s="16" t="s">
        <v>14</v>
      </c>
      <c r="C13" s="9" t="s">
        <v>5</v>
      </c>
      <c r="F13" s="216" t="s">
        <v>87</v>
      </c>
      <c r="G13" s="216"/>
    </row>
    <row r="14" spans="1:24" x14ac:dyDescent="0.25">
      <c r="A14" s="4" t="s">
        <v>18</v>
      </c>
      <c r="B14" s="3" t="s">
        <v>15</v>
      </c>
      <c r="C14" s="29">
        <v>1.4947576621458694E-10</v>
      </c>
      <c r="E14">
        <v>1</v>
      </c>
      <c r="F14">
        <f>D3/I3</f>
        <v>0.79343734314873682</v>
      </c>
    </row>
    <row r="15" spans="1:24" x14ac:dyDescent="0.25">
      <c r="A15" s="4" t="s">
        <v>19</v>
      </c>
      <c r="B15" s="3" t="s">
        <v>15</v>
      </c>
      <c r="C15" s="29">
        <f>(C14)*(C17/C16)</f>
        <v>1.5718070261740071E-10</v>
      </c>
      <c r="E15">
        <v>2</v>
      </c>
      <c r="F15">
        <f t="shared" ref="F15:F18" si="4">D4/I4</f>
        <v>0.79778153391083884</v>
      </c>
    </row>
    <row r="16" spans="1:24" x14ac:dyDescent="0.25">
      <c r="A16" s="4" t="s">
        <v>6</v>
      </c>
      <c r="B16" s="3" t="s">
        <v>15</v>
      </c>
      <c r="C16" s="29">
        <f>(C14)*(0.97/0.98)</f>
        <v>1.4795050329402993E-10</v>
      </c>
      <c r="E16">
        <v>3</v>
      </c>
      <c r="F16">
        <f t="shared" si="4"/>
        <v>0.78810667340748231</v>
      </c>
    </row>
    <row r="17" spans="1:6" x14ac:dyDescent="0.25">
      <c r="A17" s="5" t="s">
        <v>7</v>
      </c>
      <c r="B17" s="3" t="s">
        <v>15</v>
      </c>
      <c r="C17" s="29">
        <f>(C14)*(1.02/0.98)</f>
        <v>1.5557681789681499E-10</v>
      </c>
      <c r="E17">
        <v>4</v>
      </c>
      <c r="F17" t="e">
        <f t="shared" si="4"/>
        <v>#DIV/0!</v>
      </c>
    </row>
    <row r="18" spans="1:6" x14ac:dyDescent="0.25">
      <c r="A18" s="5" t="s">
        <v>10</v>
      </c>
      <c r="B18" s="3" t="s">
        <v>15</v>
      </c>
      <c r="C18" s="29">
        <f>C14*1.37</f>
        <v>2.0478179971398413E-10</v>
      </c>
      <c r="E18">
        <v>5</v>
      </c>
      <c r="F18" t="e">
        <f t="shared" si="4"/>
        <v>#DIV/0!</v>
      </c>
    </row>
    <row r="19" spans="1:6" x14ac:dyDescent="0.25">
      <c r="A19" s="5" t="s">
        <v>8</v>
      </c>
      <c r="B19" s="3" t="s">
        <v>16</v>
      </c>
      <c r="C19" s="29">
        <f>(38.3/33.5)*C22</f>
        <v>1.2722732422165167E-10</v>
      </c>
      <c r="E19" t="s">
        <v>93</v>
      </c>
      <c r="F19" t="e">
        <f>AVERAGE(F14:F18)</f>
        <v>#DIV/0!</v>
      </c>
    </row>
    <row r="20" spans="1:6" x14ac:dyDescent="0.25">
      <c r="A20" s="5" t="s">
        <v>9</v>
      </c>
      <c r="B20" s="3" t="s">
        <v>16</v>
      </c>
      <c r="C20" s="29">
        <f>(38.3/39.2)*C22</f>
        <v>1.0872743268942171E-10</v>
      </c>
    </row>
    <row r="21" spans="1:6" x14ac:dyDescent="0.25">
      <c r="A21" s="5" t="s">
        <v>12</v>
      </c>
      <c r="B21" s="3" t="s">
        <v>16</v>
      </c>
      <c r="C21" s="29">
        <v>1.2679079497666798E-10</v>
      </c>
    </row>
    <row r="22" spans="1:6" x14ac:dyDescent="0.25">
      <c r="A22" s="5" t="s">
        <v>13</v>
      </c>
      <c r="B22" s="3" t="s">
        <v>16</v>
      </c>
      <c r="C22" s="29">
        <v>1.1128238541580499E-10</v>
      </c>
    </row>
    <row r="23" spans="1:6" ht="15.75" thickBot="1" x14ac:dyDescent="0.3">
      <c r="A23" s="6" t="s">
        <v>11</v>
      </c>
      <c r="B23" s="7" t="s">
        <v>17</v>
      </c>
      <c r="C23" s="30">
        <v>9.8056356935757502E-11</v>
      </c>
    </row>
  </sheetData>
  <mergeCells count="3">
    <mergeCell ref="O1:X1"/>
    <mergeCell ref="A3:A5"/>
    <mergeCell ref="F13:G13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0824A-3DFB-4190-9D50-39A181EB2122}">
  <dimension ref="B1:BJ43"/>
  <sheetViews>
    <sheetView zoomScale="80" zoomScaleNormal="80" workbookViewId="0">
      <selection activeCell="P34" sqref="P34"/>
    </sheetView>
  </sheetViews>
  <sheetFormatPr defaultRowHeight="15" x14ac:dyDescent="0.25"/>
  <cols>
    <col min="2" max="2" width="18.5703125" bestFit="1" customWidth="1"/>
    <col min="3" max="3" width="22.42578125" bestFit="1" customWidth="1"/>
    <col min="4" max="4" width="13.5703125" customWidth="1"/>
    <col min="5" max="5" width="14.7109375" bestFit="1" customWidth="1"/>
    <col min="6" max="6" width="14.7109375" customWidth="1"/>
    <col min="7" max="7" width="19.5703125" bestFit="1" customWidth="1"/>
    <col min="8" max="8" width="10.42578125" style="3" customWidth="1"/>
    <col min="9" max="9" width="13.28515625" style="3" customWidth="1"/>
    <col min="10" max="10" width="13.28515625" style="2" bestFit="1" customWidth="1"/>
    <col min="11" max="11" width="13.42578125" style="2" bestFit="1" customWidth="1"/>
    <col min="12" max="12" width="10.7109375" style="2" bestFit="1" customWidth="1"/>
    <col min="13" max="13" width="10.85546875" style="2" bestFit="1" customWidth="1"/>
    <col min="14" max="15" width="12.5703125" style="2" customWidth="1"/>
    <col min="16" max="16" width="21.7109375" style="2" bestFit="1" customWidth="1"/>
    <col min="17" max="17" width="11" style="2" customWidth="1"/>
    <col min="18" max="18" width="10.28515625" style="2" bestFit="1" customWidth="1"/>
    <col min="19" max="19" width="12.28515625" style="2" customWidth="1"/>
    <col min="20" max="20" width="15.7109375" style="2" customWidth="1"/>
    <col min="21" max="21" width="14.85546875" customWidth="1"/>
    <col min="22" max="22" width="11.5703125" bestFit="1" customWidth="1"/>
    <col min="23" max="23" width="15.7109375" bestFit="1" customWidth="1"/>
    <col min="24" max="24" width="29.5703125" bestFit="1" customWidth="1"/>
    <col min="25" max="25" width="11.5703125" bestFit="1" customWidth="1"/>
    <col min="26" max="27" width="11.85546875" customWidth="1"/>
    <col min="28" max="30" width="11.5703125" bestFit="1" customWidth="1"/>
    <col min="31" max="31" width="15.5703125" customWidth="1"/>
    <col min="32" max="32" width="13.7109375" customWidth="1"/>
    <col min="33" max="33" width="9.5703125" style="3" bestFit="1" customWidth="1"/>
    <col min="34" max="34" width="9.28515625" style="3" bestFit="1" customWidth="1"/>
    <col min="35" max="37" width="9.5703125" style="3" bestFit="1" customWidth="1"/>
    <col min="38" max="39" width="9.5703125" style="3" customWidth="1"/>
    <col min="40" max="40" width="9.140625" style="3"/>
    <col min="41" max="41" width="9.85546875" style="3" bestFit="1" customWidth="1"/>
    <col min="42" max="42" width="9.85546875" style="3" customWidth="1"/>
    <col min="43" max="43" width="9.140625" style="3"/>
    <col min="44" max="44" width="10.7109375" style="3" bestFit="1" customWidth="1"/>
    <col min="45" max="46" width="10.7109375" style="3" customWidth="1"/>
    <col min="47" max="47" width="9.5703125" style="3" bestFit="1" customWidth="1"/>
    <col min="48" max="48" width="15.5703125" bestFit="1" customWidth="1"/>
    <col min="61" max="61" width="17.85546875" bestFit="1" customWidth="1"/>
    <col min="62" max="62" width="18.42578125" bestFit="1" customWidth="1"/>
  </cols>
  <sheetData>
    <row r="1" spans="2:62" ht="15.75" thickBot="1" x14ac:dyDescent="0.3"/>
    <row r="2" spans="2:62" ht="15.75" thickBot="1" x14ac:dyDescent="0.3">
      <c r="H2" s="217" t="s">
        <v>76</v>
      </c>
      <c r="I2" s="218"/>
      <c r="J2" s="157">
        <v>4.7</v>
      </c>
      <c r="K2" s="156">
        <v>4.5</v>
      </c>
      <c r="L2" s="156">
        <v>3.1</v>
      </c>
      <c r="M2" s="156">
        <v>2.9</v>
      </c>
      <c r="N2" s="158">
        <v>2.7</v>
      </c>
      <c r="O2" s="156"/>
      <c r="P2" s="159">
        <v>2.7</v>
      </c>
      <c r="Q2" s="159">
        <v>4.5</v>
      </c>
      <c r="R2" s="159">
        <v>2.2000000000000002</v>
      </c>
      <c r="S2" s="161">
        <v>1.6</v>
      </c>
      <c r="T2" s="160">
        <v>1.3</v>
      </c>
    </row>
    <row r="3" spans="2:62" ht="15.75" thickBot="1" x14ac:dyDescent="0.3">
      <c r="B3" s="10" t="s">
        <v>0</v>
      </c>
      <c r="C3" s="47">
        <v>45550</v>
      </c>
      <c r="H3" s="224" t="s">
        <v>30</v>
      </c>
      <c r="I3" s="224" t="s">
        <v>33</v>
      </c>
      <c r="J3" s="232" t="s">
        <v>31</v>
      </c>
      <c r="K3" s="232"/>
      <c r="L3" s="232"/>
      <c r="M3" s="232"/>
      <c r="N3" s="232"/>
      <c r="O3" s="232"/>
      <c r="P3" s="232"/>
      <c r="Q3" s="232"/>
      <c r="R3" s="232"/>
      <c r="S3" s="232"/>
      <c r="T3" s="233"/>
      <c r="U3" s="211" t="s">
        <v>52</v>
      </c>
      <c r="V3" s="211"/>
      <c r="W3" s="211"/>
      <c r="X3" s="211"/>
      <c r="Y3" s="211"/>
      <c r="Z3" s="211"/>
      <c r="AA3" s="211"/>
      <c r="AB3" s="211"/>
      <c r="AC3" s="211"/>
      <c r="AD3" s="212"/>
      <c r="AE3" s="227" t="s">
        <v>34</v>
      </c>
      <c r="AF3" s="227"/>
      <c r="AG3" s="217" t="s">
        <v>73</v>
      </c>
      <c r="AH3" s="226"/>
      <c r="AI3" s="226"/>
      <c r="AJ3" s="226"/>
      <c r="AK3" s="226"/>
      <c r="AL3" s="226"/>
      <c r="AM3" s="226"/>
      <c r="AN3" s="226"/>
      <c r="AO3" s="224" t="s">
        <v>74</v>
      </c>
      <c r="AP3" s="224" t="s">
        <v>84</v>
      </c>
      <c r="AQ3" s="224" t="s">
        <v>75</v>
      </c>
      <c r="AR3" s="239" t="s">
        <v>80</v>
      </c>
      <c r="AS3" s="245" t="s">
        <v>81</v>
      </c>
      <c r="AT3" s="241" t="s">
        <v>82</v>
      </c>
      <c r="AU3" s="227" t="s">
        <v>36</v>
      </c>
      <c r="AV3" s="224" t="s">
        <v>49</v>
      </c>
      <c r="AW3" s="217" t="s">
        <v>95</v>
      </c>
      <c r="AX3" s="226"/>
      <c r="AY3" s="226"/>
      <c r="AZ3" s="226"/>
      <c r="BA3" s="226"/>
      <c r="BB3" s="218"/>
      <c r="BC3" s="217" t="s">
        <v>51</v>
      </c>
      <c r="BD3" s="226"/>
      <c r="BE3" s="226"/>
      <c r="BF3" s="226"/>
      <c r="BG3" s="226"/>
      <c r="BH3" s="218"/>
      <c r="BI3" s="224" t="s">
        <v>53</v>
      </c>
      <c r="BJ3" s="219" t="s">
        <v>54</v>
      </c>
    </row>
    <row r="4" spans="2:62" ht="15.75" thickBot="1" x14ac:dyDescent="0.3">
      <c r="B4" s="11" t="s">
        <v>1</v>
      </c>
      <c r="C4" s="48" t="s">
        <v>96</v>
      </c>
      <c r="E4" s="1"/>
      <c r="F4" s="1"/>
      <c r="H4" s="225"/>
      <c r="I4" s="225"/>
      <c r="J4" s="19" t="s">
        <v>40</v>
      </c>
      <c r="K4" s="20" t="s">
        <v>41</v>
      </c>
      <c r="L4" s="20" t="s">
        <v>42</v>
      </c>
      <c r="M4" s="20" t="s">
        <v>43</v>
      </c>
      <c r="N4" s="20" t="s">
        <v>70</v>
      </c>
      <c r="O4" s="20" t="s">
        <v>86</v>
      </c>
      <c r="P4" s="20" t="s">
        <v>45</v>
      </c>
      <c r="Q4" s="20" t="s">
        <v>72</v>
      </c>
      <c r="R4" s="20" t="s">
        <v>46</v>
      </c>
      <c r="S4" s="20" t="s">
        <v>47</v>
      </c>
      <c r="T4" s="31" t="s">
        <v>48</v>
      </c>
      <c r="U4" s="19" t="s">
        <v>18</v>
      </c>
      <c r="V4" s="20" t="s">
        <v>19</v>
      </c>
      <c r="W4" s="20" t="s">
        <v>6</v>
      </c>
      <c r="X4" s="20" t="s">
        <v>7</v>
      </c>
      <c r="Y4" s="20" t="s">
        <v>10</v>
      </c>
      <c r="Z4" s="20" t="s">
        <v>8</v>
      </c>
      <c r="AA4" s="20" t="s">
        <v>68</v>
      </c>
      <c r="AB4" s="20" t="s">
        <v>9</v>
      </c>
      <c r="AC4" s="20" t="s">
        <v>12</v>
      </c>
      <c r="AD4" s="31" t="s">
        <v>11</v>
      </c>
      <c r="AE4" s="234"/>
      <c r="AF4" s="228"/>
      <c r="AG4" s="19" t="s">
        <v>37</v>
      </c>
      <c r="AH4" s="20" t="s">
        <v>38</v>
      </c>
      <c r="AI4" s="20" t="s">
        <v>39</v>
      </c>
      <c r="AJ4" s="20" t="s">
        <v>10</v>
      </c>
      <c r="AK4" s="20" t="s">
        <v>8</v>
      </c>
      <c r="AL4" s="20" t="s">
        <v>68</v>
      </c>
      <c r="AM4" s="20" t="s">
        <v>35</v>
      </c>
      <c r="AN4" s="20" t="s">
        <v>11</v>
      </c>
      <c r="AO4" s="225"/>
      <c r="AP4" s="225"/>
      <c r="AQ4" s="225"/>
      <c r="AR4" s="240"/>
      <c r="AS4" s="246"/>
      <c r="AT4" s="242"/>
      <c r="AU4" s="228"/>
      <c r="AV4" s="225"/>
      <c r="AW4" s="19" t="s">
        <v>37</v>
      </c>
      <c r="AX4" s="20" t="s">
        <v>38</v>
      </c>
      <c r="AY4" s="20" t="s">
        <v>39</v>
      </c>
      <c r="AZ4" s="20" t="s">
        <v>10</v>
      </c>
      <c r="BA4" s="20" t="s">
        <v>35</v>
      </c>
      <c r="BB4" s="31" t="s">
        <v>11</v>
      </c>
      <c r="BC4" s="19" t="s">
        <v>37</v>
      </c>
      <c r="BD4" s="20" t="s">
        <v>38</v>
      </c>
      <c r="BE4" s="20" t="s">
        <v>39</v>
      </c>
      <c r="BF4" s="20" t="s">
        <v>10</v>
      </c>
      <c r="BG4" s="20" t="s">
        <v>35</v>
      </c>
      <c r="BH4" s="31" t="s">
        <v>11</v>
      </c>
      <c r="BI4" s="225"/>
      <c r="BJ4" s="219"/>
    </row>
    <row r="5" spans="2:62" x14ac:dyDescent="0.25">
      <c r="B5" s="11" t="s">
        <v>2</v>
      </c>
      <c r="C5" s="94">
        <v>0.2036</v>
      </c>
      <c r="H5" s="58" t="s">
        <v>32</v>
      </c>
      <c r="I5" s="58"/>
      <c r="J5" s="187">
        <v>37939</v>
      </c>
      <c r="K5" s="78"/>
      <c r="L5" s="81">
        <v>29</v>
      </c>
      <c r="M5" s="59"/>
      <c r="N5" s="81"/>
      <c r="O5" s="81">
        <v>47816</v>
      </c>
      <c r="P5" s="81"/>
      <c r="Q5" s="59"/>
      <c r="R5" s="81"/>
      <c r="S5" s="81"/>
      <c r="T5" s="60"/>
      <c r="U5" s="61">
        <f>J5*$D$9</f>
        <v>5.670961094415214E-6</v>
      </c>
      <c r="V5" s="62">
        <f>K5*$D$10</f>
        <v>0</v>
      </c>
      <c r="W5" s="62">
        <f>L5*$D$11</f>
        <v>4.2905645955268682E-9</v>
      </c>
      <c r="X5" s="62">
        <f>M5*$D$12</f>
        <v>0</v>
      </c>
      <c r="Y5" s="62">
        <f>N5*$D$13</f>
        <v>0</v>
      </c>
      <c r="Z5" s="62">
        <f t="shared" ref="Z5:Z7" si="0">P5*$D$14</f>
        <v>0</v>
      </c>
      <c r="AA5" s="62"/>
      <c r="AB5" s="62">
        <f t="shared" ref="AB5:AB7" si="1">R5*$D$15</f>
        <v>0</v>
      </c>
      <c r="AC5" s="62">
        <f t="shared" ref="AC5:AC32" si="2">S5*$D$16</f>
        <v>0</v>
      </c>
      <c r="AD5" s="63">
        <f t="shared" ref="AD5:AD32" si="3">T5*$D$19</f>
        <v>0</v>
      </c>
      <c r="AE5" s="64"/>
      <c r="AF5" s="65"/>
      <c r="AG5" s="66"/>
      <c r="AH5" s="67"/>
      <c r="AI5" s="67"/>
      <c r="AJ5" s="67"/>
      <c r="AK5" s="67"/>
      <c r="AL5" s="67"/>
      <c r="AM5" s="67"/>
      <c r="AN5" s="145"/>
      <c r="AO5" s="145"/>
      <c r="AP5" s="145"/>
      <c r="AQ5" s="145"/>
      <c r="AR5" s="118"/>
      <c r="AS5" s="119"/>
      <c r="AT5" s="120"/>
      <c r="AU5" s="58"/>
      <c r="AV5" s="104"/>
      <c r="AW5" s="50"/>
      <c r="AX5" s="103"/>
      <c r="AY5" s="103"/>
      <c r="AZ5" s="103"/>
      <c r="BA5" s="103"/>
      <c r="BB5" s="104"/>
      <c r="BC5" s="105"/>
      <c r="BD5" s="103"/>
      <c r="BE5" s="103"/>
      <c r="BF5" s="103"/>
      <c r="BG5" s="103"/>
      <c r="BH5" s="104"/>
      <c r="BI5" s="3"/>
    </row>
    <row r="6" spans="2:62" ht="15.75" thickBot="1" x14ac:dyDescent="0.3">
      <c r="B6" s="12" t="s">
        <v>3</v>
      </c>
      <c r="C6" s="46">
        <v>1</v>
      </c>
      <c r="H6" s="51" t="s">
        <v>32</v>
      </c>
      <c r="I6" s="57"/>
      <c r="J6" s="188">
        <v>37759</v>
      </c>
      <c r="K6" s="79"/>
      <c r="L6" s="82">
        <v>27</v>
      </c>
      <c r="M6" s="52"/>
      <c r="N6" s="82"/>
      <c r="O6" s="82">
        <v>47330</v>
      </c>
      <c r="P6" s="82"/>
      <c r="Q6" s="52"/>
      <c r="R6" s="82"/>
      <c r="S6" s="82"/>
      <c r="T6" s="53"/>
      <c r="U6" s="54">
        <f>J6*$D$9</f>
        <v>5.6440554564965884E-6</v>
      </c>
      <c r="V6" s="162">
        <f t="shared" ref="V6:V32" si="4">K6*$D$10</f>
        <v>0</v>
      </c>
      <c r="W6" s="162">
        <f t="shared" ref="W6:W7" si="5">L6*$D$11</f>
        <v>3.9946635889388083E-9</v>
      </c>
      <c r="X6" s="162">
        <f t="shared" ref="X6:X32" si="6">M6*$D$12</f>
        <v>0</v>
      </c>
      <c r="Y6" s="162">
        <f t="shared" ref="Y6:Y32" si="7">N6*$D$13</f>
        <v>0</v>
      </c>
      <c r="Z6" s="162">
        <f t="shared" si="0"/>
        <v>0</v>
      </c>
      <c r="AA6" s="162"/>
      <c r="AB6" s="162">
        <f t="shared" si="1"/>
        <v>0</v>
      </c>
      <c r="AC6" s="162">
        <f t="shared" si="2"/>
        <v>0</v>
      </c>
      <c r="AD6" s="55">
        <f t="shared" si="3"/>
        <v>0</v>
      </c>
      <c r="AE6" s="49"/>
      <c r="AF6" s="56"/>
      <c r="AG6" s="57"/>
      <c r="AH6" s="150"/>
      <c r="AI6" s="150"/>
      <c r="AJ6" s="150"/>
      <c r="AK6" s="150"/>
      <c r="AL6" s="150"/>
      <c r="AM6" s="150"/>
      <c r="AN6" s="146"/>
      <c r="AO6" s="146"/>
      <c r="AP6" s="146"/>
      <c r="AQ6" s="150"/>
      <c r="AR6" s="176"/>
      <c r="AS6" s="176"/>
      <c r="AT6" s="176"/>
      <c r="AU6" s="146"/>
      <c r="AV6" s="107"/>
      <c r="AW6" s="76"/>
      <c r="AX6" s="106"/>
      <c r="AY6" s="106"/>
      <c r="AZ6" s="106"/>
      <c r="BA6" s="106"/>
      <c r="BB6" s="107"/>
      <c r="BC6" s="108"/>
      <c r="BD6" s="106"/>
      <c r="BE6" s="106"/>
      <c r="BF6" s="106"/>
      <c r="BG6" s="106"/>
      <c r="BH6" s="107"/>
      <c r="BI6" s="3"/>
    </row>
    <row r="7" spans="2:62" ht="15.75" thickBot="1" x14ac:dyDescent="0.3">
      <c r="G7" s="180" t="s">
        <v>88</v>
      </c>
      <c r="H7" s="68" t="s">
        <v>32</v>
      </c>
      <c r="I7" s="76"/>
      <c r="J7" s="188">
        <v>37413</v>
      </c>
      <c r="K7" s="80"/>
      <c r="L7" s="83">
        <v>23</v>
      </c>
      <c r="M7" s="69"/>
      <c r="N7" s="83"/>
      <c r="O7" s="83">
        <v>47472</v>
      </c>
      <c r="P7" s="83"/>
      <c r="Q7" s="69"/>
      <c r="R7" s="83"/>
      <c r="S7" s="83"/>
      <c r="T7" s="70"/>
      <c r="U7" s="71">
        <f t="shared" ref="U7:U32" si="8">J7*$D$9</f>
        <v>5.592336841386341E-6</v>
      </c>
      <c r="V7" s="72">
        <f t="shared" si="4"/>
        <v>0</v>
      </c>
      <c r="W7" s="72">
        <f t="shared" si="5"/>
        <v>3.4028615757626883E-9</v>
      </c>
      <c r="X7" s="72">
        <f t="shared" si="6"/>
        <v>0</v>
      </c>
      <c r="Y7" s="72">
        <f t="shared" si="7"/>
        <v>0</v>
      </c>
      <c r="Z7" s="72">
        <f t="shared" si="0"/>
        <v>0</v>
      </c>
      <c r="AA7" s="72"/>
      <c r="AB7" s="72">
        <f t="shared" si="1"/>
        <v>0</v>
      </c>
      <c r="AC7" s="72">
        <f t="shared" si="2"/>
        <v>0</v>
      </c>
      <c r="AD7" s="73">
        <f t="shared" si="3"/>
        <v>0</v>
      </c>
      <c r="AE7" s="74"/>
      <c r="AF7" s="75"/>
      <c r="AG7" s="76"/>
      <c r="AH7" s="77"/>
      <c r="AI7" s="77"/>
      <c r="AJ7" s="77"/>
      <c r="AK7" s="77"/>
      <c r="AL7" s="77"/>
      <c r="AM7" s="77"/>
      <c r="AN7" s="147"/>
      <c r="AO7" s="147"/>
      <c r="AP7" s="147"/>
      <c r="AQ7" s="77"/>
      <c r="AR7" s="176"/>
      <c r="AS7" s="176"/>
      <c r="AT7" s="176"/>
      <c r="AU7" s="147"/>
      <c r="AV7" s="107"/>
      <c r="AW7" s="76"/>
      <c r="AX7" s="106"/>
      <c r="AY7" s="106"/>
      <c r="AZ7" s="106"/>
      <c r="BA7" s="106"/>
      <c r="BB7" s="107"/>
      <c r="BC7" s="108"/>
      <c r="BD7" s="106"/>
      <c r="BE7" s="106"/>
      <c r="BF7" s="106"/>
      <c r="BG7" s="106"/>
      <c r="BH7" s="107"/>
      <c r="BI7" s="3"/>
    </row>
    <row r="8" spans="2:62" ht="15.75" thickBot="1" x14ac:dyDescent="0.3">
      <c r="B8" s="8" t="s">
        <v>4</v>
      </c>
      <c r="C8" s="16" t="s">
        <v>14</v>
      </c>
      <c r="D8" s="9" t="s">
        <v>5</v>
      </c>
      <c r="G8" s="181">
        <f>J8/O8</f>
        <v>0.62542041282891125</v>
      </c>
      <c r="H8" s="17">
        <v>1</v>
      </c>
      <c r="I8" s="17">
        <v>1</v>
      </c>
      <c r="J8" s="40">
        <v>28451</v>
      </c>
      <c r="K8" s="41">
        <v>2141</v>
      </c>
      <c r="L8" s="41">
        <v>16</v>
      </c>
      <c r="M8" s="41">
        <v>74</v>
      </c>
      <c r="N8" s="41">
        <v>26</v>
      </c>
      <c r="O8" s="41">
        <v>45491</v>
      </c>
      <c r="P8" s="41">
        <v>2859</v>
      </c>
      <c r="Q8" s="41">
        <v>621</v>
      </c>
      <c r="R8" s="41">
        <v>31</v>
      </c>
      <c r="S8" s="41"/>
      <c r="T8" s="42">
        <v>9</v>
      </c>
      <c r="U8" s="32">
        <f>J8*$D$9</f>
        <v>4.2527350245712136E-6</v>
      </c>
      <c r="V8" s="163">
        <f t="shared" si="4"/>
        <v>3.3652388430385492E-7</v>
      </c>
      <c r="W8" s="163">
        <f>(L8)*$D$11</f>
        <v>2.3672080527044789E-9</v>
      </c>
      <c r="X8" s="163">
        <f t="shared" si="6"/>
        <v>1.1512684524364309E-8</v>
      </c>
      <c r="Y8" s="163">
        <f t="shared" si="7"/>
        <v>5.3243267925635869E-9</v>
      </c>
      <c r="Z8" s="163">
        <f>P9*$D$14</f>
        <v>7.7608667775207511E-9</v>
      </c>
      <c r="AA8" s="163">
        <f>Q8*$D$17</f>
        <v>5.4318115734881408E-8</v>
      </c>
      <c r="AB8" s="163">
        <f>R9*$D$15</f>
        <v>5.0014619037133986E-9</v>
      </c>
      <c r="AC8" s="163">
        <f t="shared" si="2"/>
        <v>0</v>
      </c>
      <c r="AD8" s="33">
        <f t="shared" si="3"/>
        <v>9.0025956000000006E-10</v>
      </c>
      <c r="AE8" s="37">
        <f>((Branco2!$P$10-U8)/(Branco2!$P$10))*100</f>
        <v>24.540495619347361</v>
      </c>
      <c r="AF8" s="38"/>
      <c r="AG8" s="39">
        <f>(V8/SUM(V8,W8,X8,Y8,Z8,AA8,AB8,AD8))*100</f>
        <v>79.42338658726969</v>
      </c>
      <c r="AH8" s="39">
        <f>(W8/SUM(V8,X8,Y8,Z8,AA8,AB8,AD8))*100</f>
        <v>0.56182633164378026</v>
      </c>
      <c r="AI8" s="39">
        <f>(X8/SUM(V8,W8,X8,Y8,Z8,AA8,AB8,AD8))*100</f>
        <v>2.7171218337960603</v>
      </c>
      <c r="AJ8" s="39">
        <f>(Y8/SUM(V8,W8,X8,Y8,Z8,AA8,AB8,AD8))*100</f>
        <v>1.2566004521120742</v>
      </c>
      <c r="AK8" s="39">
        <f>(Z8/SUM(V8,W8,X8,Y8,Z8,AA8,AB8,AD8))*100</f>
        <v>1.831651038969859</v>
      </c>
      <c r="AL8" s="39">
        <f>(AA8/SUM(V8,W8,X8,Y8,Z8,AB8,AD8))*100</f>
        <v>14.704787349493214</v>
      </c>
      <c r="AM8" s="39">
        <f>(AB8/SUM(V8,W8,X8,Y8,Z8,AA8,AB8,AD8))*100</f>
        <v>1.1804007406542962</v>
      </c>
      <c r="AN8" s="38">
        <f>(AD8/SUM(V8,W8,X8,Y8,Z8,AA8,AB8,AD8))*100</f>
        <v>0.21247128776810642</v>
      </c>
      <c r="AO8" s="38">
        <f>(V8/(SUM(V8+(W8*2/3)+(X8*2/3)+(Y8*1/3)+(Z8*1/3)+(AB8*1/3)))*100)</f>
        <v>95.656087297671533</v>
      </c>
      <c r="AP8" s="38">
        <f>(W8/(SUM(V8*3/2)+W8+(X8)+(Y8*1/2)+(Z8*1/2)++(AB8*1/2))*100)</f>
        <v>0.44858204861083961</v>
      </c>
      <c r="AQ8" s="38">
        <f>(X8/(SUM(V8*3/2)+W8+X8+(Y8*1/2)+(Z8*1/2)+(AB8*1/2))*100)</f>
        <v>2.1816348601253979</v>
      </c>
      <c r="AR8" s="38">
        <f>(Z8/(SUM(V8*3)+(W8*2)+(X8*2)+Y8+(Z8)+(AB8))*100)</f>
        <v>0.73533577120073235</v>
      </c>
      <c r="AS8" s="38">
        <f>(AB8/(SUM((V8*3)+(W8*2)+(X8*2)+Z8+Y8+AB8))*100)</f>
        <v>0.47388441929588859</v>
      </c>
      <c r="AT8" s="38">
        <f>(Y8/(SUM(V8*3)+(W8*2)+(X8*2)+Y8+Z8+AB8))*100</f>
        <v>0.50447560309561035</v>
      </c>
      <c r="AU8" s="38">
        <f>(((U8*3)+(V8*3)+(2*W8)+(2*X8)+(Y8)+(Z8)+(AB8)))/((Branco2!$P$10*3))*100</f>
        <v>81.701865731071223</v>
      </c>
      <c r="AV8" s="151">
        <f>(AO8*AE8)/100</f>
        <v>23.474477912924172</v>
      </c>
      <c r="AW8" s="186">
        <f>(((AV8/100)*($C$23/60)*1000)/$C$5)</f>
        <v>0.47150496382864254</v>
      </c>
      <c r="AX8" s="23">
        <f t="shared" ref="AX8:BA9" si="9">(AH8/100)*(($AE8/100)*($C$26))/($C$5/1000)</f>
        <v>0.33232039276956016</v>
      </c>
      <c r="AY8" s="23">
        <f t="shared" si="9"/>
        <v>1.6071781334420669</v>
      </c>
      <c r="AZ8" s="23">
        <f t="shared" si="9"/>
        <v>0.74327943045763512</v>
      </c>
      <c r="BA8" s="23">
        <f t="shared" si="9"/>
        <v>1.0834219729543983</v>
      </c>
      <c r="BB8" s="151">
        <f>(AN8/100)*(($AE8/100)*($C$26))/($C$5/1000)</f>
        <v>0.12567681118961851</v>
      </c>
      <c r="BC8" s="39">
        <f>AW8*42.8</f>
        <v>20.180412451865898</v>
      </c>
      <c r="BD8" s="23">
        <f>AX8*30.07</f>
        <v>9.9928742105806734</v>
      </c>
      <c r="BE8">
        <f>AY8*28.05</f>
        <v>45.081346643049976</v>
      </c>
      <c r="BF8">
        <f>AZ8*16.04</f>
        <v>11.922202064540466</v>
      </c>
      <c r="BG8">
        <f>BA8*28.01</f>
        <v>30.346649462452699</v>
      </c>
      <c r="BH8" s="14">
        <f>BB8*2</f>
        <v>0.25135362237923703</v>
      </c>
      <c r="BI8" s="109">
        <f t="shared" ref="BI8:BI16" si="10">V8*3+W8*2+X8*2+Y8+Z8+AB8</f>
        <v>1.0554180935395002E-6</v>
      </c>
      <c r="BJ8" s="1">
        <f t="shared" ref="BJ8:BJ16" si="11">(BI8/((3*U8)+BI8))*100</f>
        <v>7.6404146888956399</v>
      </c>
    </row>
    <row r="9" spans="2:62" x14ac:dyDescent="0.25">
      <c r="B9" s="4" t="s">
        <v>18</v>
      </c>
      <c r="C9" s="3" t="s">
        <v>15</v>
      </c>
      <c r="D9" s="29">
        <v>1.4947576621458694E-10</v>
      </c>
      <c r="E9" s="149">
        <f>D9/$D$18</f>
        <v>1.3432113775785175</v>
      </c>
      <c r="F9" s="149"/>
      <c r="G9" s="181">
        <f t="shared" ref="G9:G28" si="12">J9/O9</f>
        <v>0.72736276797112298</v>
      </c>
      <c r="H9" s="17">
        <v>2</v>
      </c>
      <c r="I9" s="17">
        <v>15</v>
      </c>
      <c r="J9" s="40">
        <v>33047</v>
      </c>
      <c r="K9" s="41">
        <v>1116</v>
      </c>
      <c r="L9" s="41">
        <v>38</v>
      </c>
      <c r="M9" s="41">
        <v>62</v>
      </c>
      <c r="N9" s="41">
        <v>32</v>
      </c>
      <c r="O9" s="41">
        <v>45434</v>
      </c>
      <c r="P9" s="41">
        <v>61</v>
      </c>
      <c r="Q9" s="41">
        <v>1056</v>
      </c>
      <c r="R9" s="41">
        <v>46</v>
      </c>
      <c r="S9" s="41"/>
      <c r="T9" s="42">
        <v>1260</v>
      </c>
      <c r="U9" s="32">
        <f t="shared" si="8"/>
        <v>4.9397256460934544E-6</v>
      </c>
      <c r="V9" s="163">
        <f t="shared" si="4"/>
        <v>1.7541366412101918E-7</v>
      </c>
      <c r="W9" s="163">
        <f t="shared" ref="W9:W32" si="13">(L9)*$D$11</f>
        <v>5.6221191251731373E-9</v>
      </c>
      <c r="X9" s="163">
        <f t="shared" si="6"/>
        <v>9.6457627096025292E-9</v>
      </c>
      <c r="Y9" s="163">
        <f t="shared" si="7"/>
        <v>6.553017590847492E-9</v>
      </c>
      <c r="Z9" s="163">
        <f t="shared" ref="Z9:Z32" si="14">P10*$D$14</f>
        <v>1.3995005664381684E-9</v>
      </c>
      <c r="AA9" s="163">
        <f t="shared" ref="AA9:AA32" si="15">Q9*$D$17</f>
        <v>9.2367037384919112E-8</v>
      </c>
      <c r="AB9" s="163">
        <f t="shared" ref="AB9:AB32" si="16">R10*$D$15</f>
        <v>1.848366355720169E-9</v>
      </c>
      <c r="AC9" s="163">
        <f t="shared" si="2"/>
        <v>0</v>
      </c>
      <c r="AD9" s="33">
        <f t="shared" si="3"/>
        <v>1.2603633839999999E-7</v>
      </c>
      <c r="AE9" s="37">
        <f>((Branco2!$P$10-U9)/(Branco2!$P$10))*100</f>
        <v>12.350699755107824</v>
      </c>
      <c r="AF9" s="38"/>
      <c r="AG9" s="39">
        <f t="shared" ref="AG9:AG32" si="17">(V9/SUM(V9,W9,X9,Y9,Z9,AA9,AB9,AD9))*100</f>
        <v>41.876249207348621</v>
      </c>
      <c r="AH9" s="39">
        <f t="shared" ref="AH9:AH32" si="18">(W9/SUM(V9,X9,Y9,Z9,AA9,AB9,AD9))*100</f>
        <v>1.3604193400675837</v>
      </c>
      <c r="AI9" s="39">
        <f t="shared" ref="AI9:AI32" si="19">(X9/SUM(V9,W9,X9,Y9,Z9,AA9,AB9,AD9))*100</f>
        <v>2.3027189189981954</v>
      </c>
      <c r="AJ9" s="39">
        <f t="shared" ref="AJ9:AJ32" si="20">(Y9/SUM(V9,W9,X9,Y9,Z9,AA9,AB9,AD9))*100</f>
        <v>1.5643923697138402</v>
      </c>
      <c r="AK9" s="39">
        <f t="shared" ref="AK9:AK32" si="21">(Z9/SUM(V9,W9,X9,Y9,Z9,AA9,AB9,AD9))*100</f>
        <v>0.33410073713275662</v>
      </c>
      <c r="AL9" s="39">
        <f t="shared" ref="AL9:AL32" si="22">(AA9/SUM(V9,W9,X9,Y9,Z9,AB9,AD9))*100</f>
        <v>28.288431230130399</v>
      </c>
      <c r="AM9" s="39">
        <f t="shared" ref="AM9:AM32" si="23">(AB9/SUM(V9,W9,X9,Y9,Z9,AA9,AB9,AD9))*100</f>
        <v>0.44125781492835087</v>
      </c>
      <c r="AN9" s="38">
        <f t="shared" ref="AN9:AN25" si="24">(AD9/SUM(V9,W9,X9,Y9,Z9,AA9,AB9,AD9))*100</f>
        <v>30.088471969771071</v>
      </c>
      <c r="AO9" s="38">
        <f t="shared" ref="AO9:AO32" si="25">(V9/(SUM(V9+(W9*2/3)+(X9*2/3)+(Y9*1/3)+(Z9*1/3)+(AB9*1/3)))*100)</f>
        <v>92.880649482794098</v>
      </c>
      <c r="AP9" s="38">
        <f t="shared" ref="AP9:AP32" si="26">(W9/(SUM(V9*3/2)+W9+(X9)+(Y9*1/2)+(Z9*1/2)++(AB9*1/2))*100)</f>
        <v>1.9845891270114477</v>
      </c>
      <c r="AQ9" s="38">
        <f t="shared" ref="AQ9:AQ32" si="27">(X9/(SUM(V9*3/2)+W9+X9+(Y9*1/2)+(Z9*1/2)+(AB9*1/2))*100)</f>
        <v>3.4049217686436233</v>
      </c>
      <c r="AR9" s="38">
        <f t="shared" ref="AR9:AR32" si="28">(Z9/(SUM(V9*3)+(W9*2)+(X9*2)+Y9+(Z9)+(AB9))*100)</f>
        <v>0.24700949460173685</v>
      </c>
      <c r="AS9" s="38">
        <f t="shared" ref="AS9:AS32" si="29">(AB9/(SUM((V9*3)+(W9*2)+(X9*2)+Z9+Y9+AB9))*100)</f>
        <v>0.32623355096402862</v>
      </c>
      <c r="AT9" s="38">
        <f t="shared" ref="AT9:AT28" si="30">(Y9/(SUM(V9*3)+(W9*2)+(X9*2)+Y9+Z9+AB9))*100</f>
        <v>1.1565965759850547</v>
      </c>
      <c r="AU9" s="38">
        <f>(((U9*3)+(V9*3)+(2*W9)+(2*X9)+(Y9)+(Z9)+(AB9)))/((Branco2!$P$10*3))*100</f>
        <v>91.00037257063957</v>
      </c>
      <c r="AV9" s="151">
        <f>(AO9*AE9)/100</f>
        <v>11.471410148214007</v>
      </c>
      <c r="AW9" s="186">
        <f t="shared" ref="AW9:AW28" si="31">(((AV9/100)*($C$23/60)*1000)/$C$5)</f>
        <v>0.23041308296868532</v>
      </c>
      <c r="AX9" s="23">
        <f t="shared" si="9"/>
        <v>0.40498219944070957</v>
      </c>
      <c r="AY9" s="23">
        <f t="shared" si="9"/>
        <v>0.68549464495505785</v>
      </c>
      <c r="AZ9" s="23">
        <f t="shared" si="9"/>
        <v>0.46570277561880352</v>
      </c>
      <c r="BA9" s="23">
        <f t="shared" si="9"/>
        <v>9.9458194524097529E-2</v>
      </c>
      <c r="BB9" s="151">
        <f>(AN9/100)*(($AE9/100)*($C$26))/($C$5/1000)</f>
        <v>8.957014353767331</v>
      </c>
      <c r="BC9" s="39">
        <f t="shared" ref="BC9:BC32" si="32">AW9*42.8</f>
        <v>9.8616799510597311</v>
      </c>
      <c r="BD9" s="23">
        <f t="shared" ref="BD9:BD32" si="33">AX9*30.07</f>
        <v>12.177814737182137</v>
      </c>
      <c r="BE9">
        <f t="shared" ref="BE9:BE32" si="34">AY9*28.05</f>
        <v>19.228124790989373</v>
      </c>
      <c r="BF9">
        <f t="shared" ref="BF9:BF32" si="35">AZ9*16.04</f>
        <v>7.4698725209256081</v>
      </c>
      <c r="BG9">
        <f t="shared" ref="BG9:BG32" si="36">BA9*28.01</f>
        <v>2.785824028619972</v>
      </c>
      <c r="BH9" s="14">
        <f t="shared" ref="BH9:BH32" si="37">BB9*2</f>
        <v>17.914028707534662</v>
      </c>
      <c r="BI9" s="109">
        <f t="shared" si="10"/>
        <v>5.6657764054561479E-7</v>
      </c>
      <c r="BJ9" s="1">
        <f t="shared" si="11"/>
        <v>3.6824819845062668</v>
      </c>
    </row>
    <row r="10" spans="2:62" x14ac:dyDescent="0.25">
      <c r="B10" s="4" t="s">
        <v>19</v>
      </c>
      <c r="C10" s="3" t="s">
        <v>15</v>
      </c>
      <c r="D10" s="29">
        <f>(D9)*(D12/D11)</f>
        <v>1.5718070261740071E-10</v>
      </c>
      <c r="E10" s="149">
        <f t="shared" ref="E10:E19" si="38">D10/$D$18</f>
        <v>1.4124490774536989</v>
      </c>
      <c r="F10" s="149"/>
      <c r="G10" s="181">
        <f t="shared" si="12"/>
        <v>0.70462625920595956</v>
      </c>
      <c r="H10" s="17">
        <v>3</v>
      </c>
      <c r="I10" s="17">
        <v>30</v>
      </c>
      <c r="J10" s="40">
        <v>33295</v>
      </c>
      <c r="K10" s="41">
        <v>421</v>
      </c>
      <c r="L10" s="41">
        <v>17</v>
      </c>
      <c r="M10" s="41">
        <v>26</v>
      </c>
      <c r="N10" s="41">
        <v>12</v>
      </c>
      <c r="O10" s="41">
        <v>47252</v>
      </c>
      <c r="P10" s="41">
        <v>11</v>
      </c>
      <c r="Q10" s="41">
        <v>27</v>
      </c>
      <c r="R10" s="41">
        <v>17</v>
      </c>
      <c r="S10" s="41"/>
      <c r="T10" s="42">
        <v>462</v>
      </c>
      <c r="U10" s="32">
        <f t="shared" si="8"/>
        <v>4.9767956361146724E-6</v>
      </c>
      <c r="V10" s="163">
        <f t="shared" si="4"/>
        <v>6.6173075801925704E-8</v>
      </c>
      <c r="W10" s="163">
        <f t="shared" si="13"/>
        <v>2.5151585559985088E-9</v>
      </c>
      <c r="X10" s="163">
        <f t="shared" si="6"/>
        <v>4.0449972653171895E-9</v>
      </c>
      <c r="Y10" s="163">
        <f t="shared" si="7"/>
        <v>2.4573815965678094E-9</v>
      </c>
      <c r="Z10" s="163">
        <f t="shared" si="14"/>
        <v>8.9059126955156171E-10</v>
      </c>
      <c r="AA10" s="163">
        <f t="shared" si="15"/>
        <v>2.3616572058644093E-9</v>
      </c>
      <c r="AB10" s="163">
        <f t="shared" si="16"/>
        <v>1.4134566249624821E-9</v>
      </c>
      <c r="AC10" s="163">
        <f t="shared" si="2"/>
        <v>0</v>
      </c>
      <c r="AD10" s="33">
        <f t="shared" si="3"/>
        <v>4.6213324080000001E-8</v>
      </c>
      <c r="AE10" s="37">
        <f>((Branco2!$P$10-U10)/(Branco2!$P$10))*100</f>
        <v>11.692938794635358</v>
      </c>
      <c r="AF10" s="38"/>
      <c r="AG10" s="39">
        <f>(V10/SUM(V10,W10,X10,Y10,Z10,AA10,AB10,AD10))*100</f>
        <v>52.489302374532002</v>
      </c>
      <c r="AH10" s="39">
        <f t="shared" si="18"/>
        <v>2.0356675676540394</v>
      </c>
      <c r="AI10" s="39">
        <f t="shared" si="19"/>
        <v>3.2085418728142341</v>
      </c>
      <c r="AJ10" s="39">
        <f t="shared" si="20"/>
        <v>1.9492254834571905</v>
      </c>
      <c r="AK10" s="39">
        <f t="shared" si="21"/>
        <v>0.70642801279988088</v>
      </c>
      <c r="AL10" s="39">
        <f t="shared" si="22"/>
        <v>1.9090580144480289</v>
      </c>
      <c r="AM10" s="39">
        <f t="shared" si="23"/>
        <v>1.1211712812476242</v>
      </c>
      <c r="AN10" s="38">
        <f t="shared" si="24"/>
        <v>36.656980380180102</v>
      </c>
      <c r="AO10" s="38">
        <f t="shared" si="25"/>
        <v>91.736755498647355</v>
      </c>
      <c r="AP10" s="38">
        <f t="shared" si="26"/>
        <v>2.3245353964666058</v>
      </c>
      <c r="AQ10" s="38">
        <f t="shared" si="27"/>
        <v>3.7384280602968096</v>
      </c>
      <c r="AR10" s="38">
        <f t="shared" si="28"/>
        <v>0.41154680386240527</v>
      </c>
      <c r="AS10" s="38">
        <f t="shared" si="29"/>
        <v>0.6531655724565506</v>
      </c>
      <c r="AT10" s="38">
        <f t="shared" si="30"/>
        <v>1.1355686682702482</v>
      </c>
      <c r="AU10" s="38">
        <f>(((U10*3)+(V10*3)+(2*W10)+(2*X10)+(Y10)+(Z10)+(AB10)))/((Branco2!$P$10*3))*100</f>
        <v>89.586983399680804</v>
      </c>
      <c r="AV10" s="151">
        <f t="shared" ref="AV10:AV31" si="39">(AO10*AE10)/100</f>
        <v>10.726722672641122</v>
      </c>
      <c r="AW10" s="186">
        <f t="shared" si="31"/>
        <v>0.21545539817858733</v>
      </c>
      <c r="AX10" s="23">
        <f t="shared" ref="AX10:BA16" si="40">(AH10/100)*(($AE10/100)*($C$26))/($C$5/1000)</f>
        <v>0.57372279710232987</v>
      </c>
      <c r="AY10" s="23">
        <f t="shared" si="40"/>
        <v>0.90428007359390994</v>
      </c>
      <c r="AZ10" s="23">
        <f t="shared" si="40"/>
        <v>0.54936037412089755</v>
      </c>
      <c r="BA10" s="23">
        <f t="shared" si="40"/>
        <v>0.19909628757413481</v>
      </c>
      <c r="BB10" s="151">
        <f t="shared" ref="BB10:BB16" si="41">(AN10/100)*(($AE10/100)*($C$26))/($C$5/1000)</f>
        <v>10.331227775701516</v>
      </c>
      <c r="BC10" s="39">
        <f t="shared" si="32"/>
        <v>9.221491042043537</v>
      </c>
      <c r="BD10" s="23">
        <f t="shared" si="33"/>
        <v>17.251844508867059</v>
      </c>
      <c r="BE10">
        <f t="shared" si="34"/>
        <v>25.365056064309176</v>
      </c>
      <c r="BF10">
        <f t="shared" si="35"/>
        <v>8.8117404008991969</v>
      </c>
      <c r="BG10">
        <f t="shared" si="36"/>
        <v>5.5766870149515162</v>
      </c>
      <c r="BH10" s="14">
        <f t="shared" si="37"/>
        <v>20.662455551403031</v>
      </c>
      <c r="BI10" s="109">
        <f t="shared" si="10"/>
        <v>2.1640096853949037E-7</v>
      </c>
      <c r="BJ10" s="1">
        <f t="shared" si="11"/>
        <v>1.4286921444892873</v>
      </c>
    </row>
    <row r="11" spans="2:62" x14ac:dyDescent="0.25">
      <c r="B11" s="4" t="s">
        <v>6</v>
      </c>
      <c r="C11" s="3" t="s">
        <v>15</v>
      </c>
      <c r="D11" s="29">
        <v>1.4795050329402993E-10</v>
      </c>
      <c r="E11" s="149">
        <f t="shared" si="38"/>
        <v>1.3295051390317978</v>
      </c>
      <c r="F11" s="149"/>
      <c r="G11" s="181">
        <f t="shared" si="12"/>
        <v>0.66576038772977131</v>
      </c>
      <c r="H11" s="17">
        <v>4</v>
      </c>
      <c r="I11" s="17">
        <v>45</v>
      </c>
      <c r="J11" s="40">
        <v>33792</v>
      </c>
      <c r="K11" s="41">
        <v>190</v>
      </c>
      <c r="L11" s="41">
        <v>12</v>
      </c>
      <c r="M11" s="41">
        <v>18</v>
      </c>
      <c r="N11" s="41">
        <v>9</v>
      </c>
      <c r="O11" s="41">
        <v>50757</v>
      </c>
      <c r="P11" s="41">
        <v>7</v>
      </c>
      <c r="Q11" s="41">
        <v>0</v>
      </c>
      <c r="R11" s="41">
        <v>13</v>
      </c>
      <c r="S11" s="41"/>
      <c r="T11" s="42">
        <v>197</v>
      </c>
      <c r="U11" s="32">
        <f t="shared" si="8"/>
        <v>5.0510850919233219E-6</v>
      </c>
      <c r="V11" s="163">
        <f t="shared" si="4"/>
        <v>2.9864333497306132E-8</v>
      </c>
      <c r="W11" s="163">
        <f t="shared" si="13"/>
        <v>1.7754060395283593E-9</v>
      </c>
      <c r="X11" s="163">
        <f t="shared" si="6"/>
        <v>2.8003827221426698E-9</v>
      </c>
      <c r="Y11" s="163">
        <f t="shared" si="7"/>
        <v>1.8430361974258571E-9</v>
      </c>
      <c r="Z11" s="163">
        <f t="shared" si="14"/>
        <v>6.3613662110825832E-10</v>
      </c>
      <c r="AA11" s="163">
        <f t="shared" si="15"/>
        <v>0</v>
      </c>
      <c r="AB11" s="163">
        <f t="shared" si="16"/>
        <v>1.1960017595836388E-9</v>
      </c>
      <c r="AC11" s="163">
        <f t="shared" si="2"/>
        <v>0</v>
      </c>
      <c r="AD11" s="33">
        <f t="shared" si="3"/>
        <v>1.9705681480000001E-8</v>
      </c>
      <c r="AE11" s="37">
        <f>((Branco2!$P$10-U11)/(Branco2!$P$10))*100</f>
        <v>10.374764611753061</v>
      </c>
      <c r="AF11" s="38"/>
      <c r="AG11" s="39">
        <f t="shared" si="17"/>
        <v>51.649650985716136</v>
      </c>
      <c r="AH11" s="39">
        <f t="shared" si="18"/>
        <v>3.1677900097721077</v>
      </c>
      <c r="AI11" s="39">
        <f t="shared" si="19"/>
        <v>4.8431949850193545</v>
      </c>
      <c r="AJ11" s="39">
        <f t="shared" si="20"/>
        <v>3.1874870523955807</v>
      </c>
      <c r="AK11" s="39">
        <f t="shared" si="21"/>
        <v>1.1001830816829725</v>
      </c>
      <c r="AL11" s="39">
        <f t="shared" si="22"/>
        <v>0</v>
      </c>
      <c r="AM11" s="39">
        <f t="shared" si="23"/>
        <v>2.0684564571437525</v>
      </c>
      <c r="AN11" s="38">
        <f t="shared" si="24"/>
        <v>34.080505127278286</v>
      </c>
      <c r="AO11" s="38">
        <f t="shared" si="25"/>
        <v>87.476290679607544</v>
      </c>
      <c r="AP11" s="38">
        <f t="shared" si="26"/>
        <v>3.4669211642738249</v>
      </c>
      <c r="AQ11" s="38">
        <f t="shared" si="27"/>
        <v>5.4684426611741781</v>
      </c>
      <c r="AR11" s="38">
        <f t="shared" si="28"/>
        <v>0.62110735966509922</v>
      </c>
      <c r="AS11" s="38">
        <f t="shared" si="29"/>
        <v>1.1677452144723932</v>
      </c>
      <c r="AT11" s="38">
        <f t="shared" si="30"/>
        <v>1.7994929208069732</v>
      </c>
      <c r="AU11" s="38">
        <f>(((U11*3)+(V11*3)+(2*W11)+(2*X11)+(Y11)+(Z11)+(AB11)))/((Branco2!$P$10*3))*100</f>
        <v>90.23100584928217</v>
      </c>
      <c r="AV11" s="151">
        <f t="shared" si="39"/>
        <v>9.0754592491021651</v>
      </c>
      <c r="AW11" s="186">
        <f t="shared" si="31"/>
        <v>0.18228836018629022</v>
      </c>
      <c r="AX11" s="23">
        <f t="shared" si="40"/>
        <v>0.79214778104049399</v>
      </c>
      <c r="AY11" s="23">
        <f t="shared" si="40"/>
        <v>1.2111049497266178</v>
      </c>
      <c r="AZ11" s="23">
        <f t="shared" si="40"/>
        <v>0.79707328701125346</v>
      </c>
      <c r="BA11" s="23">
        <f t="shared" si="40"/>
        <v>0.27511532778530234</v>
      </c>
      <c r="BB11" s="151">
        <f t="shared" si="41"/>
        <v>8.5222809687611978</v>
      </c>
      <c r="BC11" s="39">
        <f t="shared" si="32"/>
        <v>7.8019418159732208</v>
      </c>
      <c r="BD11" s="23">
        <f t="shared" si="33"/>
        <v>23.819883775887654</v>
      </c>
      <c r="BE11">
        <f t="shared" si="34"/>
        <v>33.971493839831631</v>
      </c>
      <c r="BF11">
        <f t="shared" si="35"/>
        <v>12.785055523660505</v>
      </c>
      <c r="BG11">
        <f t="shared" si="36"/>
        <v>7.7059803312663187</v>
      </c>
      <c r="BH11" s="14">
        <f t="shared" si="37"/>
        <v>17.044561937522396</v>
      </c>
      <c r="BI11" s="109">
        <f t="shared" si="10"/>
        <v>1.024197525933782E-7</v>
      </c>
      <c r="BJ11" s="1">
        <f t="shared" si="11"/>
        <v>0.67135510164551515</v>
      </c>
    </row>
    <row r="12" spans="2:62" x14ac:dyDescent="0.25">
      <c r="B12" s="5" t="s">
        <v>7</v>
      </c>
      <c r="C12" s="3" t="s">
        <v>15</v>
      </c>
      <c r="D12" s="29">
        <f>(D9)*(1.02/0.98)</f>
        <v>1.5557681789681499E-10</v>
      </c>
      <c r="E12" s="149">
        <f t="shared" si="38"/>
        <v>1.3980363317653957</v>
      </c>
      <c r="F12" s="149"/>
      <c r="G12" s="181">
        <f t="shared" si="12"/>
        <v>0.76997430821715873</v>
      </c>
      <c r="H12" s="84">
        <v>5</v>
      </c>
      <c r="I12" s="84">
        <v>60</v>
      </c>
      <c r="J12" s="85">
        <v>36563</v>
      </c>
      <c r="K12" s="86">
        <v>152</v>
      </c>
      <c r="L12" s="86">
        <v>14</v>
      </c>
      <c r="M12" s="86">
        <v>18</v>
      </c>
      <c r="N12" s="86">
        <v>9</v>
      </c>
      <c r="O12" s="86">
        <v>47486</v>
      </c>
      <c r="P12" s="86">
        <v>5</v>
      </c>
      <c r="Q12" s="86">
        <v>0</v>
      </c>
      <c r="R12" s="86">
        <v>11</v>
      </c>
      <c r="S12" s="86"/>
      <c r="T12" s="87">
        <v>119</v>
      </c>
      <c r="U12" s="88">
        <f t="shared" si="8"/>
        <v>5.4652824401039426E-6</v>
      </c>
      <c r="V12" s="164">
        <f t="shared" si="4"/>
        <v>2.3891466797844909E-8</v>
      </c>
      <c r="W12" s="164">
        <f t="shared" si="13"/>
        <v>2.0713070461164191E-9</v>
      </c>
      <c r="X12" s="164">
        <f t="shared" si="6"/>
        <v>2.8003827221426698E-9</v>
      </c>
      <c r="Y12" s="164">
        <f t="shared" si="7"/>
        <v>1.8430361974258571E-9</v>
      </c>
      <c r="Z12" s="164">
        <f t="shared" si="14"/>
        <v>5.0890929688660667E-10</v>
      </c>
      <c r="AA12" s="164">
        <f t="shared" si="15"/>
        <v>0</v>
      </c>
      <c r="AB12" s="164">
        <f t="shared" si="16"/>
        <v>1.3047291922730605E-9</v>
      </c>
      <c r="AC12" s="164">
        <f t="shared" si="2"/>
        <v>0</v>
      </c>
      <c r="AD12" s="89">
        <f t="shared" si="3"/>
        <v>1.190343196E-8</v>
      </c>
      <c r="AE12" s="37">
        <f>((Branco2!$P$10-U12)/(Branco2!$P$10))*100</f>
        <v>3.0253467832483119</v>
      </c>
      <c r="AF12" s="91"/>
      <c r="AG12" s="92">
        <f t="shared" si="17"/>
        <v>53.902770387639031</v>
      </c>
      <c r="AH12" s="92">
        <f t="shared" si="18"/>
        <v>4.9022749099486607</v>
      </c>
      <c r="AI12" s="92">
        <f t="shared" si="19"/>
        <v>6.3180878824394302</v>
      </c>
      <c r="AJ12" s="92">
        <f t="shared" si="20"/>
        <v>4.1581690151780286</v>
      </c>
      <c r="AK12" s="92">
        <f t="shared" si="21"/>
        <v>1.1481765104806376</v>
      </c>
      <c r="AL12" s="92">
        <f t="shared" si="22"/>
        <v>0</v>
      </c>
      <c r="AM12" s="92">
        <f t="shared" si="23"/>
        <v>2.9436668189618391</v>
      </c>
      <c r="AN12" s="91">
        <f t="shared" si="24"/>
        <v>26.855946735871445</v>
      </c>
      <c r="AO12" s="38">
        <f t="shared" si="25"/>
        <v>84.249027180383479</v>
      </c>
      <c r="AP12" s="38">
        <f t="shared" si="26"/>
        <v>4.8693983533602898</v>
      </c>
      <c r="AQ12" s="38">
        <f t="shared" si="27"/>
        <v>6.583369202333941</v>
      </c>
      <c r="AR12" s="38">
        <f t="shared" si="28"/>
        <v>0.59819284082377977</v>
      </c>
      <c r="AS12" s="38">
        <f t="shared" si="29"/>
        <v>1.5336321556834149</v>
      </c>
      <c r="AT12" s="38">
        <f t="shared" si="30"/>
        <v>2.1663802674150854</v>
      </c>
      <c r="AU12" s="38">
        <f>(((U12*3)+(V12*3)+(2*W12)+(2*X12)+(Y12)+(Z12)+(AB12)))/((Branco2!$P$10*3))*100</f>
        <v>97.477833416766885</v>
      </c>
      <c r="AV12" s="101">
        <f t="shared" si="39"/>
        <v>2.5488252337197275</v>
      </c>
      <c r="AW12" s="186">
        <f t="shared" si="31"/>
        <v>5.119533452835149E-2</v>
      </c>
      <c r="AX12" s="93">
        <f t="shared" si="40"/>
        <v>0.35747394935836485</v>
      </c>
      <c r="AY12" s="93">
        <f t="shared" si="40"/>
        <v>0.46071504948556719</v>
      </c>
      <c r="AZ12" s="93">
        <f t="shared" si="40"/>
        <v>0.3032137379604522</v>
      </c>
      <c r="BA12" s="93">
        <f t="shared" si="40"/>
        <v>8.3725045882079657E-2</v>
      </c>
      <c r="BB12" s="101">
        <f t="shared" si="41"/>
        <v>1.9583359806988858</v>
      </c>
      <c r="BC12" s="92">
        <f t="shared" si="32"/>
        <v>2.1911603178134436</v>
      </c>
      <c r="BD12" s="93">
        <f t="shared" si="33"/>
        <v>10.749241657206031</v>
      </c>
      <c r="BE12" s="99">
        <f t="shared" si="34"/>
        <v>12.92305713807016</v>
      </c>
      <c r="BF12" s="99">
        <f t="shared" si="35"/>
        <v>4.8635483568856532</v>
      </c>
      <c r="BG12" s="99">
        <f t="shared" si="36"/>
        <v>2.3451385351570515</v>
      </c>
      <c r="BH12" s="100">
        <f t="shared" si="37"/>
        <v>3.9166719613977716</v>
      </c>
      <c r="BI12" s="109">
        <f t="shared" si="10"/>
        <v>8.5074454616638428E-8</v>
      </c>
      <c r="BJ12" s="1">
        <f t="shared" si="11"/>
        <v>0.51619961418697824</v>
      </c>
    </row>
    <row r="13" spans="2:62" x14ac:dyDescent="0.25">
      <c r="B13" s="5" t="s">
        <v>10</v>
      </c>
      <c r="C13" s="3" t="s">
        <v>15</v>
      </c>
      <c r="D13" s="29">
        <f>D9*1.37</f>
        <v>2.0478179971398413E-10</v>
      </c>
      <c r="E13" s="149">
        <f t="shared" si="38"/>
        <v>1.8401995872825689</v>
      </c>
      <c r="F13" s="149"/>
      <c r="G13" s="181">
        <f t="shared" si="12"/>
        <v>0.80031695721077656</v>
      </c>
      <c r="H13" s="17">
        <v>6</v>
      </c>
      <c r="I13" s="17">
        <v>75</v>
      </c>
      <c r="J13" s="40">
        <v>37875</v>
      </c>
      <c r="K13" s="41">
        <v>124</v>
      </c>
      <c r="L13" s="41">
        <v>16</v>
      </c>
      <c r="M13" s="41">
        <v>16</v>
      </c>
      <c r="N13" s="41">
        <v>9</v>
      </c>
      <c r="O13" s="41">
        <v>47325</v>
      </c>
      <c r="P13" s="41">
        <v>4</v>
      </c>
      <c r="Q13" s="41">
        <v>0</v>
      </c>
      <c r="R13" s="41">
        <v>12</v>
      </c>
      <c r="S13" s="41"/>
      <c r="T13" s="42">
        <v>92</v>
      </c>
      <c r="U13" s="32">
        <f t="shared" si="8"/>
        <v>5.6613946453774807E-6</v>
      </c>
      <c r="V13" s="163">
        <f t="shared" si="4"/>
        <v>1.9490407124557689E-8</v>
      </c>
      <c r="W13" s="163">
        <f t="shared" si="13"/>
        <v>2.3672080527044789E-9</v>
      </c>
      <c r="X13" s="163">
        <f t="shared" si="6"/>
        <v>2.4892290863490398E-9</v>
      </c>
      <c r="Y13" s="163">
        <f t="shared" si="7"/>
        <v>1.8430361974258571E-9</v>
      </c>
      <c r="Z13" s="163">
        <f t="shared" si="14"/>
        <v>6.3613662110825832E-10</v>
      </c>
      <c r="AA13" s="163">
        <f t="shared" si="15"/>
        <v>0</v>
      </c>
      <c r="AB13" s="163">
        <f t="shared" si="16"/>
        <v>1.3047291922730605E-9</v>
      </c>
      <c r="AC13" s="163">
        <f t="shared" si="2"/>
        <v>0</v>
      </c>
      <c r="AD13" s="33">
        <f t="shared" si="3"/>
        <v>9.2026532800000004E-9</v>
      </c>
      <c r="AE13" s="37">
        <f>((Branco2!$P$10-U13)/(Branco2!$P$10))*100</f>
        <v>-0.45442087860597302</v>
      </c>
      <c r="AF13" s="38"/>
      <c r="AG13" s="39">
        <f t="shared" si="17"/>
        <v>52.206355052525645</v>
      </c>
      <c r="AH13" s="39">
        <f t="shared" si="18"/>
        <v>6.7699911000843409</v>
      </c>
      <c r="AI13" s="39">
        <f t="shared" si="19"/>
        <v>6.6675660830743739</v>
      </c>
      <c r="AJ13" s="39">
        <f t="shared" si="20"/>
        <v>4.9366953436409862</v>
      </c>
      <c r="AK13" s="39">
        <f t="shared" si="21"/>
        <v>1.7039343555654629</v>
      </c>
      <c r="AL13" s="39">
        <f t="shared" si="22"/>
        <v>0</v>
      </c>
      <c r="AM13" s="39">
        <f t="shared" si="23"/>
        <v>3.4948041374352861</v>
      </c>
      <c r="AN13" s="38">
        <f t="shared" si="24"/>
        <v>24.649920419344376</v>
      </c>
      <c r="AO13" s="38">
        <f t="shared" si="25"/>
        <v>81.246141719556903</v>
      </c>
      <c r="AP13" s="38">
        <f t="shared" si="26"/>
        <v>6.5785019163735248</v>
      </c>
      <c r="AQ13" s="38">
        <f t="shared" si="27"/>
        <v>6.9175999532999963</v>
      </c>
      <c r="AR13" s="38">
        <f t="shared" si="28"/>
        <v>0.88391596510813497</v>
      </c>
      <c r="AS13" s="38">
        <f t="shared" si="29"/>
        <v>1.8129296835381135</v>
      </c>
      <c r="AT13" s="38">
        <f t="shared" si="30"/>
        <v>2.5609107621233203</v>
      </c>
      <c r="AU13" s="38">
        <f>(((U13*3)+(V13*3)+(2*W13)+(2*X13)+(Y13)+(Z13)+(AB13)))/((Branco2!$P$10*3))*100</f>
        <v>100.88008180845544</v>
      </c>
      <c r="AV13" s="151">
        <f t="shared" si="39"/>
        <v>-0.36919943103546443</v>
      </c>
      <c r="AW13" s="186">
        <f t="shared" si="31"/>
        <v>-7.4156863050015044E-3</v>
      </c>
      <c r="AX13" s="23">
        <f t="shared" si="40"/>
        <v>-7.4151159757228621E-2</v>
      </c>
      <c r="AY13" s="23">
        <f t="shared" si="40"/>
        <v>-7.3029306908803424E-2</v>
      </c>
      <c r="AZ13" s="23">
        <f t="shared" si="40"/>
        <v>-5.4071221023396773E-2</v>
      </c>
      <c r="BA13" s="23">
        <f t="shared" si="40"/>
        <v>-1.8663053872226065E-2</v>
      </c>
      <c r="BB13" s="151">
        <f t="shared" si="41"/>
        <v>-0.26998856571539748</v>
      </c>
      <c r="BC13" s="39">
        <f t="shared" si="32"/>
        <v>-0.31739137385406435</v>
      </c>
      <c r="BD13" s="23">
        <f t="shared" si="33"/>
        <v>-2.2297253738998646</v>
      </c>
      <c r="BE13">
        <f t="shared" si="34"/>
        <v>-2.0484720587919361</v>
      </c>
      <c r="BF13">
        <f t="shared" si="35"/>
        <v>-0.86730238521528424</v>
      </c>
      <c r="BG13">
        <f t="shared" si="36"/>
        <v>-0.5227521389610521</v>
      </c>
      <c r="BH13" s="14">
        <f t="shared" si="37"/>
        <v>-0.53997713143079495</v>
      </c>
      <c r="BI13" s="109">
        <f t="shared" si="10"/>
        <v>7.1967997662587277E-8</v>
      </c>
      <c r="BJ13" s="1">
        <f t="shared" si="11"/>
        <v>0.42194744712604254</v>
      </c>
    </row>
    <row r="14" spans="2:62" x14ac:dyDescent="0.25">
      <c r="B14" s="5" t="s">
        <v>8</v>
      </c>
      <c r="C14" s="3" t="s">
        <v>16</v>
      </c>
      <c r="D14" s="29">
        <f>(38.3/33.5)*D18</f>
        <v>1.2722732422165167E-10</v>
      </c>
      <c r="E14" s="148">
        <f t="shared" si="38"/>
        <v>1.1432835820895522</v>
      </c>
      <c r="F14" s="148"/>
      <c r="G14" s="181">
        <f t="shared" si="12"/>
        <v>0.79138661216577821</v>
      </c>
      <c r="H14" s="17">
        <v>7</v>
      </c>
      <c r="I14" s="17">
        <v>90</v>
      </c>
      <c r="J14" s="40">
        <v>37560</v>
      </c>
      <c r="K14" s="41">
        <v>111</v>
      </c>
      <c r="L14" s="41">
        <v>17</v>
      </c>
      <c r="M14" s="41">
        <v>18</v>
      </c>
      <c r="N14" s="41">
        <v>9</v>
      </c>
      <c r="O14" s="41">
        <v>47461</v>
      </c>
      <c r="P14" s="41">
        <v>5</v>
      </c>
      <c r="Q14" s="41">
        <v>0</v>
      </c>
      <c r="R14" s="41">
        <v>12</v>
      </c>
      <c r="S14" s="41"/>
      <c r="T14" s="42">
        <v>77</v>
      </c>
      <c r="U14" s="32">
        <f t="shared" si="8"/>
        <v>5.6143097790198856E-6</v>
      </c>
      <c r="V14" s="163">
        <f t="shared" si="4"/>
        <v>1.7447057990531478E-8</v>
      </c>
      <c r="W14" s="163">
        <f t="shared" si="13"/>
        <v>2.5151585559985088E-9</v>
      </c>
      <c r="X14" s="163">
        <f t="shared" si="6"/>
        <v>2.8003827221426698E-9</v>
      </c>
      <c r="Y14" s="163">
        <f t="shared" si="7"/>
        <v>1.8430361974258571E-9</v>
      </c>
      <c r="Z14" s="163">
        <f t="shared" si="14"/>
        <v>5.0890929688660667E-10</v>
      </c>
      <c r="AA14" s="163">
        <f t="shared" si="15"/>
        <v>0</v>
      </c>
      <c r="AB14" s="163">
        <f t="shared" si="16"/>
        <v>1.1960017595836388E-9</v>
      </c>
      <c r="AC14" s="163">
        <f t="shared" si="2"/>
        <v>0</v>
      </c>
      <c r="AD14" s="33">
        <f t="shared" si="3"/>
        <v>7.7022206799999996E-9</v>
      </c>
      <c r="AE14" s="37">
        <f>((Branco2!$P$10-U14)/(Branco2!$P$10))*100</f>
        <v>0.38104163167154703</v>
      </c>
      <c r="AF14" s="38"/>
      <c r="AG14" s="39">
        <f t="shared" si="17"/>
        <v>51.295614633830269</v>
      </c>
      <c r="AH14" s="39">
        <f t="shared" si="18"/>
        <v>7.9852365435760868</v>
      </c>
      <c r="AI14" s="39">
        <f t="shared" si="19"/>
        <v>8.2333281072501965</v>
      </c>
      <c r="AJ14" s="39">
        <f t="shared" si="20"/>
        <v>5.4186599592128015</v>
      </c>
      <c r="AK14" s="39">
        <f t="shared" si="21"/>
        <v>1.4962302063096242</v>
      </c>
      <c r="AL14" s="39">
        <f t="shared" si="22"/>
        <v>0</v>
      </c>
      <c r="AM14" s="39">
        <f t="shared" si="23"/>
        <v>3.5163318305171978</v>
      </c>
      <c r="AN14" s="38">
        <f t="shared" si="24"/>
        <v>22.645086870257071</v>
      </c>
      <c r="AO14" s="38">
        <f t="shared" si="25"/>
        <v>78.684626618561822</v>
      </c>
      <c r="AP14" s="38">
        <f t="shared" si="26"/>
        <v>7.5620891488840698</v>
      </c>
      <c r="AQ14" s="38">
        <f t="shared" si="27"/>
        <v>8.419645650303913</v>
      </c>
      <c r="AR14" s="38">
        <f t="shared" si="28"/>
        <v>0.76504470514874201</v>
      </c>
      <c r="AS14" s="38">
        <f t="shared" si="29"/>
        <v>1.7979526393323435</v>
      </c>
      <c r="AT14" s="38">
        <f t="shared" si="30"/>
        <v>2.7706412377691261</v>
      </c>
      <c r="AU14" s="38">
        <f>(((U14*3)+(V14*3)+(2*W14)+(2*X14)+(Y14)+(Z14)+(AB14)))/((Branco2!$P$10*3))*100</f>
        <v>100.01239785136474</v>
      </c>
      <c r="AV14" s="151">
        <f t="shared" si="39"/>
        <v>0.29982118514203238</v>
      </c>
      <c r="AW14" s="186">
        <f t="shared" si="31"/>
        <v>6.0221649052149204E-3</v>
      </c>
      <c r="AX14" s="23">
        <f t="shared" si="40"/>
        <v>7.3338460137603756E-2</v>
      </c>
      <c r="AY14" s="23">
        <f t="shared" si="40"/>
        <v>7.5616996678594089E-2</v>
      </c>
      <c r="AZ14" s="23">
        <f t="shared" si="40"/>
        <v>4.9766362617980606E-2</v>
      </c>
      <c r="BA14" s="23">
        <f t="shared" si="40"/>
        <v>1.3741761905649859E-2</v>
      </c>
      <c r="BB14" s="151">
        <f t="shared" si="41"/>
        <v>0.20797828488662076</v>
      </c>
      <c r="BC14" s="39">
        <f t="shared" si="32"/>
        <v>0.25774865794319857</v>
      </c>
      <c r="BD14" s="23">
        <f t="shared" si="33"/>
        <v>2.2052874963377449</v>
      </c>
      <c r="BE14">
        <f t="shared" si="34"/>
        <v>2.1210567568345642</v>
      </c>
      <c r="BF14">
        <f t="shared" si="35"/>
        <v>0.79825245639240883</v>
      </c>
      <c r="BG14">
        <f t="shared" si="36"/>
        <v>0.38490675097725258</v>
      </c>
      <c r="BH14" s="14">
        <f t="shared" si="37"/>
        <v>0.41595656977324152</v>
      </c>
      <c r="BI14" s="109">
        <f t="shared" si="10"/>
        <v>6.6520203781772882E-8</v>
      </c>
      <c r="BJ14" s="1">
        <f t="shared" si="11"/>
        <v>0.39339071104063139</v>
      </c>
    </row>
    <row r="15" spans="2:62" x14ac:dyDescent="0.25">
      <c r="B15" s="5" t="s">
        <v>9</v>
      </c>
      <c r="C15" s="3" t="s">
        <v>16</v>
      </c>
      <c r="D15" s="29">
        <f>(38.3/39.2)*D18</f>
        <v>1.0872743268942171E-10</v>
      </c>
      <c r="E15" s="148">
        <f t="shared" si="38"/>
        <v>0.9770408163265305</v>
      </c>
      <c r="F15" s="148"/>
      <c r="G15" s="181">
        <f t="shared" si="12"/>
        <v>0.79243861081454503</v>
      </c>
      <c r="H15" s="17">
        <v>8</v>
      </c>
      <c r="I15" s="17">
        <v>105</v>
      </c>
      <c r="J15" s="40">
        <v>37854</v>
      </c>
      <c r="K15" s="41">
        <v>99</v>
      </c>
      <c r="L15" s="41">
        <v>17</v>
      </c>
      <c r="M15" s="41">
        <v>17</v>
      </c>
      <c r="N15" s="41">
        <v>9</v>
      </c>
      <c r="O15" s="41">
        <v>47769</v>
      </c>
      <c r="P15" s="41">
        <v>4</v>
      </c>
      <c r="Q15" s="41">
        <v>0</v>
      </c>
      <c r="R15" s="41">
        <v>11</v>
      </c>
      <c r="S15" s="41"/>
      <c r="T15" s="42">
        <v>67</v>
      </c>
      <c r="U15" s="32">
        <f t="shared" si="8"/>
        <v>5.6582556542869739E-6</v>
      </c>
      <c r="V15" s="163">
        <f t="shared" si="4"/>
        <v>1.556088955912267E-8</v>
      </c>
      <c r="W15" s="163">
        <f t="shared" si="13"/>
        <v>2.5151585559985088E-9</v>
      </c>
      <c r="X15" s="163">
        <f t="shared" si="6"/>
        <v>2.6448059042458548E-9</v>
      </c>
      <c r="Y15" s="163">
        <f t="shared" si="7"/>
        <v>1.8430361974258571E-9</v>
      </c>
      <c r="Z15" s="163">
        <f t="shared" si="14"/>
        <v>5.0890929688660667E-10</v>
      </c>
      <c r="AA15" s="163">
        <f t="shared" si="15"/>
        <v>0</v>
      </c>
      <c r="AB15" s="163">
        <f t="shared" si="16"/>
        <v>1.3047291922730605E-9</v>
      </c>
      <c r="AC15" s="163">
        <f t="shared" si="2"/>
        <v>0</v>
      </c>
      <c r="AD15" s="33">
        <f t="shared" si="3"/>
        <v>6.7019322800000005E-9</v>
      </c>
      <c r="AE15" s="37">
        <f>((Branco2!$P$10-U15)/(Branco2!$P$10))*100</f>
        <v>-0.39872337792079598</v>
      </c>
      <c r="AF15" s="38"/>
      <c r="AG15" s="39">
        <f t="shared" si="17"/>
        <v>50.068080544112249</v>
      </c>
      <c r="AH15" s="39">
        <f t="shared" si="18"/>
        <v>8.8052511072735999</v>
      </c>
      <c r="AI15" s="39">
        <f t="shared" si="19"/>
        <v>8.5098190906247257</v>
      </c>
      <c r="AJ15" s="39">
        <f t="shared" si="20"/>
        <v>5.9300777393111197</v>
      </c>
      <c r="AK15" s="39">
        <f t="shared" si="21"/>
        <v>1.6374456980339069</v>
      </c>
      <c r="AL15" s="39">
        <f t="shared" si="22"/>
        <v>0</v>
      </c>
      <c r="AM15" s="39">
        <f t="shared" si="23"/>
        <v>4.1980431799083586</v>
      </c>
      <c r="AN15" s="38">
        <f t="shared" si="24"/>
        <v>21.563862652023374</v>
      </c>
      <c r="AO15" s="38">
        <f t="shared" si="25"/>
        <v>76.958834023699723</v>
      </c>
      <c r="AP15" s="38">
        <f t="shared" si="26"/>
        <v>8.2927422676766618</v>
      </c>
      <c r="AQ15" s="38">
        <f t="shared" si="27"/>
        <v>8.7202032093094797</v>
      </c>
      <c r="AR15" s="38">
        <f t="shared" si="28"/>
        <v>0.83896373583289829</v>
      </c>
      <c r="AS15" s="38">
        <f t="shared" si="29"/>
        <v>2.1509146798777112</v>
      </c>
      <c r="AT15" s="38">
        <f t="shared" si="30"/>
        <v>3.0383420836035224</v>
      </c>
      <c r="AU15" s="38">
        <f>(((U15*3)+(V15*3)+(2*W15)+(2*X15)+(Y15)+(Z15)+(AB15)))/((Branco2!$P$10*3))*100</f>
        <v>100.75749787607539</v>
      </c>
      <c r="AV15" s="151">
        <f t="shared" si="39"/>
        <v>-0.30685286262775441</v>
      </c>
      <c r="AW15" s="186">
        <f t="shared" si="31"/>
        <v>-6.1634021608786404E-3</v>
      </c>
      <c r="AX15" s="23">
        <f t="shared" si="40"/>
        <v>-8.4622337731784916E-2</v>
      </c>
      <c r="AY15" s="23">
        <f t="shared" si="40"/>
        <v>-8.1783106052294038E-2</v>
      </c>
      <c r="AZ15" s="23">
        <f t="shared" si="40"/>
        <v>-5.6990656497825247E-2</v>
      </c>
      <c r="BA15" s="23">
        <f t="shared" si="40"/>
        <v>-1.5736573686356545E-2</v>
      </c>
      <c r="BB15" s="151">
        <f t="shared" si="41"/>
        <v>-0.20723820887220096</v>
      </c>
      <c r="BC15" s="39">
        <f t="shared" si="32"/>
        <v>-0.26379361248560579</v>
      </c>
      <c r="BD15" s="23">
        <f t="shared" si="33"/>
        <v>-2.5445936955947723</v>
      </c>
      <c r="BE15">
        <f t="shared" si="34"/>
        <v>-2.294016124766848</v>
      </c>
      <c r="BF15">
        <f t="shared" si="35"/>
        <v>-0.91413013022511691</v>
      </c>
      <c r="BG15">
        <f t="shared" si="36"/>
        <v>-0.44078142895484684</v>
      </c>
      <c r="BH15" s="14">
        <f t="shared" si="37"/>
        <v>-0.41447641774440191</v>
      </c>
      <c r="BI15" s="109">
        <f t="shared" si="10"/>
        <v>6.0659272284442261E-8</v>
      </c>
      <c r="BJ15" s="1">
        <f t="shared" si="11"/>
        <v>0.35607722077007753</v>
      </c>
    </row>
    <row r="16" spans="2:62" x14ac:dyDescent="0.25">
      <c r="B16" s="5" t="s">
        <v>12</v>
      </c>
      <c r="C16" s="3" t="s">
        <v>16</v>
      </c>
      <c r="D16" s="29">
        <v>1.2679079497666798E-10</v>
      </c>
      <c r="E16" s="148">
        <f t="shared" si="38"/>
        <v>1.1393608656295069</v>
      </c>
      <c r="F16" s="148"/>
      <c r="G16" s="181">
        <f t="shared" si="12"/>
        <v>0.78774289985052315</v>
      </c>
      <c r="H16" s="84">
        <v>9</v>
      </c>
      <c r="I16" s="84">
        <v>120</v>
      </c>
      <c r="J16" s="85">
        <v>37417</v>
      </c>
      <c r="K16" s="86">
        <v>97</v>
      </c>
      <c r="L16" s="86">
        <v>17</v>
      </c>
      <c r="M16" s="86">
        <v>19</v>
      </c>
      <c r="N16" s="86">
        <v>9</v>
      </c>
      <c r="O16" s="86">
        <v>47499</v>
      </c>
      <c r="P16" s="86">
        <v>4</v>
      </c>
      <c r="Q16" s="86">
        <v>0</v>
      </c>
      <c r="R16" s="86">
        <v>12</v>
      </c>
      <c r="S16" s="86"/>
      <c r="T16" s="87">
        <v>58</v>
      </c>
      <c r="U16" s="88">
        <f t="shared" si="8"/>
        <v>5.5929347444511993E-6</v>
      </c>
      <c r="V16" s="164">
        <f t="shared" si="4"/>
        <v>1.524652815388787E-8</v>
      </c>
      <c r="W16" s="164">
        <f t="shared" si="13"/>
        <v>2.5151585559985088E-9</v>
      </c>
      <c r="X16" s="164">
        <f t="shared" si="6"/>
        <v>2.9559595400394849E-9</v>
      </c>
      <c r="Y16" s="164">
        <f t="shared" si="7"/>
        <v>1.8430361974258571E-9</v>
      </c>
      <c r="Z16" s="164">
        <f t="shared" si="14"/>
        <v>6.3613662110825832E-10</v>
      </c>
      <c r="AA16" s="164">
        <f t="shared" si="15"/>
        <v>0</v>
      </c>
      <c r="AB16" s="164">
        <f t="shared" si="16"/>
        <v>1.3047291922730605E-9</v>
      </c>
      <c r="AC16" s="164">
        <f t="shared" si="2"/>
        <v>0</v>
      </c>
      <c r="AD16" s="89">
        <f t="shared" si="3"/>
        <v>5.80167272E-9</v>
      </c>
      <c r="AE16" s="37">
        <f>((Branco2!$P$10-U16)/(Branco2!$P$10))*100</f>
        <v>0.76031508871817066</v>
      </c>
      <c r="AF16" s="91"/>
      <c r="AG16" s="92">
        <f t="shared" si="17"/>
        <v>50.313226318686375</v>
      </c>
      <c r="AH16" s="92">
        <f t="shared" si="18"/>
        <v>9.0512196120580626</v>
      </c>
      <c r="AI16" s="92">
        <f t="shared" si="19"/>
        <v>9.7546051026024614</v>
      </c>
      <c r="AJ16" s="92">
        <f t="shared" si="20"/>
        <v>6.0819811814647355</v>
      </c>
      <c r="AK16" s="92">
        <f t="shared" si="21"/>
        <v>2.0992376404894961</v>
      </c>
      <c r="AL16" s="92">
        <f t="shared" si="22"/>
        <v>0</v>
      </c>
      <c r="AM16" s="92">
        <f t="shared" si="23"/>
        <v>4.3055792422284567</v>
      </c>
      <c r="AN16" s="91">
        <f t="shared" si="24"/>
        <v>19.145399506173735</v>
      </c>
      <c r="AO16" s="38">
        <f t="shared" si="25"/>
        <v>75.645477215940673</v>
      </c>
      <c r="AP16" s="38">
        <f t="shared" si="26"/>
        <v>8.3192871768098016</v>
      </c>
      <c r="AQ16" s="38">
        <f t="shared" si="27"/>
        <v>9.7773065789311087</v>
      </c>
      <c r="AR16" s="38">
        <f t="shared" si="28"/>
        <v>1.0520615533488831</v>
      </c>
      <c r="AS16" s="38">
        <f t="shared" si="29"/>
        <v>2.1577997165625051</v>
      </c>
      <c r="AT16" s="38">
        <f t="shared" si="30"/>
        <v>3.0480677584070213</v>
      </c>
      <c r="AU16" s="38">
        <f>(((U16*3)+(V16*3)+(2*W16)+(2*X16)+(Y16)+(Z16)+(AB16)))/((Branco2!$P$10*3))*100</f>
        <v>99.59731464351475</v>
      </c>
      <c r="AV16" s="101">
        <f t="shared" si="39"/>
        <v>0.5751439772056629</v>
      </c>
      <c r="AW16" s="186">
        <f t="shared" si="31"/>
        <v>1.1552258634868905E-2</v>
      </c>
      <c r="AX16" s="93">
        <f t="shared" si="40"/>
        <v>0.16587169586518255</v>
      </c>
      <c r="AY16" s="93">
        <f t="shared" si="40"/>
        <v>0.17876186417002979</v>
      </c>
      <c r="AZ16" s="93">
        <f t="shared" si="40"/>
        <v>0.1114577455888616</v>
      </c>
      <c r="BA16" s="93">
        <f t="shared" si="40"/>
        <v>3.8470407566748077E-2</v>
      </c>
      <c r="BB16" s="101">
        <f t="shared" si="41"/>
        <v>0.35085657184528096</v>
      </c>
      <c r="BC16" s="92">
        <f t="shared" si="32"/>
        <v>0.49443666957238908</v>
      </c>
      <c r="BD16" s="93">
        <f t="shared" si="33"/>
        <v>4.9877618946660389</v>
      </c>
      <c r="BE16" s="99">
        <f t="shared" si="34"/>
        <v>5.0142702899693354</v>
      </c>
      <c r="BF16" s="99">
        <f t="shared" si="35"/>
        <v>1.78778223924534</v>
      </c>
      <c r="BG16" s="99">
        <f t="shared" si="36"/>
        <v>1.0775561159446136</v>
      </c>
      <c r="BH16" s="100">
        <f t="shared" si="37"/>
        <v>0.70171314369056192</v>
      </c>
      <c r="BI16" s="109">
        <f t="shared" si="10"/>
        <v>6.046572266454677E-8</v>
      </c>
      <c r="BJ16" s="1">
        <f t="shared" si="11"/>
        <v>0.35907567740451279</v>
      </c>
    </row>
    <row r="17" spans="2:62" x14ac:dyDescent="0.25">
      <c r="B17" s="5" t="s">
        <v>68</v>
      </c>
      <c r="C17" s="3" t="s">
        <v>16</v>
      </c>
      <c r="D17" s="29">
        <f>D14*0.6875</f>
        <v>8.7468785402385524E-11</v>
      </c>
      <c r="E17" s="148">
        <f t="shared" si="38"/>
        <v>0.78600746268656707</v>
      </c>
      <c r="F17" s="148"/>
      <c r="G17" s="181">
        <f t="shared" si="12"/>
        <v>0.78516134460852371</v>
      </c>
      <c r="H17" s="17">
        <v>10</v>
      </c>
      <c r="I17" s="17">
        <v>135</v>
      </c>
      <c r="J17" s="40">
        <v>37325</v>
      </c>
      <c r="K17" s="41">
        <v>84</v>
      </c>
      <c r="L17" s="41">
        <v>17</v>
      </c>
      <c r="M17" s="41">
        <v>18</v>
      </c>
      <c r="N17" s="41">
        <v>9</v>
      </c>
      <c r="O17" s="41">
        <v>47538</v>
      </c>
      <c r="P17" s="41">
        <v>5</v>
      </c>
      <c r="Q17" s="41">
        <v>0</v>
      </c>
      <c r="R17" s="41">
        <v>12</v>
      </c>
      <c r="S17" s="41"/>
      <c r="T17" s="42">
        <v>52</v>
      </c>
      <c r="U17" s="32">
        <f t="shared" si="8"/>
        <v>5.5791829739594578E-6</v>
      </c>
      <c r="V17" s="163">
        <f t="shared" si="4"/>
        <v>1.3203179019861659E-8</v>
      </c>
      <c r="W17" s="163">
        <f t="shared" si="13"/>
        <v>2.5151585559985088E-9</v>
      </c>
      <c r="X17" s="163">
        <f t="shared" si="6"/>
        <v>2.8003827221426698E-9</v>
      </c>
      <c r="Y17" s="163">
        <f t="shared" si="7"/>
        <v>1.8430361974258571E-9</v>
      </c>
      <c r="Z17" s="163">
        <f t="shared" si="14"/>
        <v>3.8168197266495503E-10</v>
      </c>
      <c r="AA17" s="163">
        <f t="shared" si="15"/>
        <v>0</v>
      </c>
      <c r="AB17" s="163">
        <f t="shared" si="16"/>
        <v>1.1960017595836388E-9</v>
      </c>
      <c r="AC17" s="163">
        <f t="shared" si="2"/>
        <v>0</v>
      </c>
      <c r="AD17" s="33">
        <f t="shared" si="3"/>
        <v>5.2014996800000005E-9</v>
      </c>
      <c r="AE17" s="37">
        <f>((Branco2!$P$10-U17)/(Branco2!$P$10))*100</f>
        <v>1.0043231869579445</v>
      </c>
      <c r="AF17" s="38"/>
      <c r="AG17" s="39">
        <f t="shared" si="17"/>
        <v>48.646727286430156</v>
      </c>
      <c r="AH17" s="39">
        <f t="shared" si="18"/>
        <v>10.213517776673701</v>
      </c>
      <c r="AI17" s="39">
        <f t="shared" si="19"/>
        <v>10.317928309293862</v>
      </c>
      <c r="AJ17" s="39">
        <f t="shared" si="20"/>
        <v>6.7906130137538909</v>
      </c>
      <c r="AK17" s="39">
        <f t="shared" si="21"/>
        <v>1.4062960750927778</v>
      </c>
      <c r="AL17" s="39">
        <f t="shared" si="22"/>
        <v>0</v>
      </c>
      <c r="AM17" s="39">
        <f t="shared" si="23"/>
        <v>4.406633534623202</v>
      </c>
      <c r="AN17" s="38">
        <f t="shared" si="24"/>
        <v>19.164773577088486</v>
      </c>
      <c r="AO17" s="38">
        <f t="shared" si="25"/>
        <v>73.813917794520961</v>
      </c>
      <c r="AP17" s="38">
        <f t="shared" si="26"/>
        <v>9.3741922110010751</v>
      </c>
      <c r="AQ17" s="38">
        <f t="shared" si="27"/>
        <v>10.43724493595996</v>
      </c>
      <c r="AR17" s="38">
        <f t="shared" si="28"/>
        <v>0.71127924851936608</v>
      </c>
      <c r="AS17" s="38">
        <f t="shared" si="29"/>
        <v>2.2287959445526053</v>
      </c>
      <c r="AT17" s="38">
        <f t="shared" si="30"/>
        <v>3.4345698654460395</v>
      </c>
      <c r="AU17" s="38">
        <f>(((U17*3)+(V17*3)+(2*W17)+(2*X17)+(Y17)+(Z17)+(AB17)))/((Branco2!$P$10*3))*100</f>
        <v>99.313061434398506</v>
      </c>
      <c r="AV17" s="151">
        <f t="shared" si="39"/>
        <v>0.74133029161245023</v>
      </c>
      <c r="AW17" s="186">
        <f t="shared" si="31"/>
        <v>1.4890252879249817E-2</v>
      </c>
      <c r="AX17" s="23"/>
      <c r="AY17" s="23"/>
      <c r="AZ17" s="23"/>
      <c r="BA17" s="23"/>
      <c r="BB17" s="151"/>
      <c r="BC17" s="39"/>
      <c r="BD17" s="23"/>
      <c r="BH17" s="14"/>
      <c r="BI17" s="109"/>
      <c r="BJ17" s="1"/>
    </row>
    <row r="18" spans="2:62" x14ac:dyDescent="0.25">
      <c r="B18" s="5" t="s">
        <v>13</v>
      </c>
      <c r="C18" s="3" t="s">
        <v>16</v>
      </c>
      <c r="D18" s="29">
        <v>1.1128238541580499E-10</v>
      </c>
      <c r="E18" s="148">
        <f t="shared" si="38"/>
        <v>1</v>
      </c>
      <c r="F18" s="148"/>
      <c r="G18" s="181">
        <f t="shared" si="12"/>
        <v>0.72739862731919924</v>
      </c>
      <c r="H18" s="17">
        <v>11</v>
      </c>
      <c r="I18" s="17">
        <v>150</v>
      </c>
      <c r="J18" s="40">
        <v>35716</v>
      </c>
      <c r="K18" s="41">
        <v>77</v>
      </c>
      <c r="L18" s="41">
        <v>16</v>
      </c>
      <c r="M18" s="41">
        <v>17</v>
      </c>
      <c r="N18" s="41">
        <v>8</v>
      </c>
      <c r="O18" s="41">
        <v>49101</v>
      </c>
      <c r="P18" s="41">
        <v>3</v>
      </c>
      <c r="Q18" s="41">
        <v>0</v>
      </c>
      <c r="R18" s="41">
        <v>11</v>
      </c>
      <c r="S18" s="41"/>
      <c r="T18" s="42"/>
      <c r="U18" s="32">
        <f t="shared" si="8"/>
        <v>5.3386764661201874E-6</v>
      </c>
      <c r="V18" s="163">
        <f t="shared" si="4"/>
        <v>1.2102914101539855E-8</v>
      </c>
      <c r="W18" s="163">
        <f t="shared" si="13"/>
        <v>2.3672080527044789E-9</v>
      </c>
      <c r="X18" s="163">
        <f t="shared" si="6"/>
        <v>2.6448059042458548E-9</v>
      </c>
      <c r="Y18" s="163">
        <f t="shared" si="7"/>
        <v>1.638254397711873E-9</v>
      </c>
      <c r="Z18" s="163">
        <f t="shared" si="14"/>
        <v>3.8168197266495503E-10</v>
      </c>
      <c r="AA18" s="163">
        <f t="shared" si="15"/>
        <v>0</v>
      </c>
      <c r="AB18" s="163">
        <f t="shared" si="16"/>
        <v>1.1960017595836388E-9</v>
      </c>
      <c r="AC18" s="163">
        <f t="shared" si="2"/>
        <v>0</v>
      </c>
      <c r="AD18" s="33">
        <f t="shared" si="3"/>
        <v>0</v>
      </c>
      <c r="AE18" s="37">
        <f>((Branco2!$P$10-U18)/(Branco2!$P$10))*100</f>
        <v>5.2718126442167428</v>
      </c>
      <c r="AF18" s="38"/>
      <c r="AG18" s="39">
        <f t="shared" si="17"/>
        <v>59.529751410272688</v>
      </c>
      <c r="AH18" s="39">
        <f t="shared" si="18"/>
        <v>13.177761649749575</v>
      </c>
      <c r="AI18" s="39">
        <f t="shared" si="19"/>
        <v>13.00882057719847</v>
      </c>
      <c r="AJ18" s="39">
        <f t="shared" si="20"/>
        <v>8.057966554531335</v>
      </c>
      <c r="AK18" s="39">
        <f t="shared" si="21"/>
        <v>1.8773522442530117</v>
      </c>
      <c r="AL18" s="39">
        <f t="shared" si="22"/>
        <v>0</v>
      </c>
      <c r="AM18" s="39">
        <f t="shared" si="23"/>
        <v>5.8826896429186624</v>
      </c>
      <c r="AN18" s="38">
        <f t="shared" si="24"/>
        <v>0</v>
      </c>
      <c r="AO18" s="38">
        <f t="shared" si="25"/>
        <v>73.278887613490923</v>
      </c>
      <c r="AP18" s="38">
        <f t="shared" si="26"/>
        <v>9.5550747198319819</v>
      </c>
      <c r="AQ18" s="38">
        <f t="shared" si="27"/>
        <v>10.675579616100936</v>
      </c>
      <c r="AR18" s="38">
        <f t="shared" si="28"/>
        <v>0.77031669520131585</v>
      </c>
      <c r="AS18" s="38">
        <f t="shared" si="29"/>
        <v>2.4137899845381368</v>
      </c>
      <c r="AT18" s="38">
        <f t="shared" si="30"/>
        <v>3.3063513708367056</v>
      </c>
      <c r="AU18" s="38">
        <f>(((U18*3)+(V18*3)+(2*W18)+(2*X18)+(Y18)+(Z18)+(AB18)))/((Branco2!$P$10*3))*100</f>
        <v>95.021247465185425</v>
      </c>
      <c r="AV18" s="151">
        <f t="shared" si="39"/>
        <v>3.8631256627493911</v>
      </c>
      <c r="AW18" s="186">
        <f t="shared" si="31"/>
        <v>7.7594182611290877E-2</v>
      </c>
      <c r="AX18" s="23">
        <f t="shared" ref="AX18:BA32" si="42">(AH18/100)*(($AE18/100)*($C$26))/($C$5/1000)</f>
        <v>1.6744538742214496</v>
      </c>
      <c r="AY18" s="23">
        <f t="shared" si="42"/>
        <v>1.6529871000478784</v>
      </c>
      <c r="AZ18" s="23">
        <f t="shared" si="42"/>
        <v>1.0238987222718714</v>
      </c>
      <c r="BA18" s="23">
        <f t="shared" si="42"/>
        <v>0.23854883873449989</v>
      </c>
      <c r="BB18" s="151">
        <f t="shared" ref="BB18:BB32" si="43">(AN18/100)*(($AE18/100)*($C$26))/($C$5/1000)</f>
        <v>0</v>
      </c>
      <c r="BC18" s="39">
        <f t="shared" si="32"/>
        <v>3.3210310157632494</v>
      </c>
      <c r="BD18" s="23">
        <f t="shared" si="33"/>
        <v>50.350827997838991</v>
      </c>
      <c r="BE18">
        <f t="shared" si="34"/>
        <v>46.366288156342989</v>
      </c>
      <c r="BF18">
        <f t="shared" si="35"/>
        <v>16.423335505240818</v>
      </c>
      <c r="BG18">
        <f t="shared" si="36"/>
        <v>6.6817529729533423</v>
      </c>
      <c r="BH18" s="14">
        <f t="shared" si="37"/>
        <v>0</v>
      </c>
      <c r="BI18" s="109">
        <f t="shared" ref="BI18:BI32" si="44">V18*3+W18*2+X18*2+Y18+Z18+AB18</f>
        <v>4.9548708348480705E-8</v>
      </c>
      <c r="BJ18" s="1">
        <f t="shared" ref="BJ18:BJ32" si="45">(BI18/((3*U18)+BI18))*100</f>
        <v>0.3084153462724693</v>
      </c>
    </row>
    <row r="19" spans="2:62" ht="15.75" thickBot="1" x14ac:dyDescent="0.3">
      <c r="B19" s="6" t="s">
        <v>11</v>
      </c>
      <c r="C19" s="7" t="s">
        <v>17</v>
      </c>
      <c r="D19" s="30">
        <f>0.00000000010002884</f>
        <v>1.0002884E-10</v>
      </c>
      <c r="E19" s="148">
        <f t="shared" si="38"/>
        <v>0.89887397386606804</v>
      </c>
      <c r="F19" s="148"/>
      <c r="G19" s="181">
        <f t="shared" si="12"/>
        <v>0.79070305272895469</v>
      </c>
      <c r="H19" s="17">
        <v>12</v>
      </c>
      <c r="I19" s="17">
        <v>165</v>
      </c>
      <c r="J19" s="40">
        <v>37609</v>
      </c>
      <c r="K19" s="41">
        <v>78</v>
      </c>
      <c r="L19" s="41">
        <v>17</v>
      </c>
      <c r="M19" s="41">
        <v>18</v>
      </c>
      <c r="N19" s="41">
        <v>9</v>
      </c>
      <c r="O19" s="41">
        <v>47564</v>
      </c>
      <c r="P19" s="41">
        <v>3</v>
      </c>
      <c r="Q19" s="41">
        <v>0</v>
      </c>
      <c r="R19" s="41">
        <v>11</v>
      </c>
      <c r="S19" s="41"/>
      <c r="T19" s="42"/>
      <c r="U19" s="32">
        <f t="shared" si="8"/>
        <v>5.6216340915644007E-6</v>
      </c>
      <c r="V19" s="163">
        <f t="shared" si="4"/>
        <v>1.2260094804157255E-8</v>
      </c>
      <c r="W19" s="163">
        <f t="shared" si="13"/>
        <v>2.5151585559985088E-9</v>
      </c>
      <c r="X19" s="163">
        <f t="shared" si="6"/>
        <v>2.8003827221426698E-9</v>
      </c>
      <c r="Y19" s="163">
        <f t="shared" si="7"/>
        <v>1.8430361974258571E-9</v>
      </c>
      <c r="Z19" s="163">
        <f t="shared" si="14"/>
        <v>3.8168197266495503E-10</v>
      </c>
      <c r="AA19" s="163">
        <f t="shared" si="15"/>
        <v>0</v>
      </c>
      <c r="AB19" s="163">
        <f t="shared" si="16"/>
        <v>1.3047291922730605E-9</v>
      </c>
      <c r="AC19" s="163">
        <f t="shared" si="2"/>
        <v>0</v>
      </c>
      <c r="AD19" s="33">
        <f t="shared" si="3"/>
        <v>0</v>
      </c>
      <c r="AE19" s="37">
        <f>((Branco2!$P$10-U19)/(Branco2!$P$10))*100</f>
        <v>0.25108079673948236</v>
      </c>
      <c r="AF19" s="38"/>
      <c r="AG19" s="39">
        <f t="shared" si="17"/>
        <v>58.090719405603487</v>
      </c>
      <c r="AH19" s="39">
        <f t="shared" si="18"/>
        <v>13.529686489116809</v>
      </c>
      <c r="AI19" s="39">
        <f t="shared" si="19"/>
        <v>13.268759299082117</v>
      </c>
      <c r="AJ19" s="39">
        <f t="shared" si="20"/>
        <v>8.7326648210527686</v>
      </c>
      <c r="AK19" s="39">
        <f t="shared" si="21"/>
        <v>1.8084835990614685</v>
      </c>
      <c r="AL19" s="39">
        <f t="shared" si="22"/>
        <v>0</v>
      </c>
      <c r="AM19" s="39">
        <f t="shared" si="23"/>
        <v>6.1820612825060399</v>
      </c>
      <c r="AN19" s="38">
        <f t="shared" si="24"/>
        <v>0</v>
      </c>
      <c r="AO19" s="38">
        <f t="shared" si="25"/>
        <v>72.201995385071712</v>
      </c>
      <c r="AP19" s="38">
        <f t="shared" si="26"/>
        <v>9.8748266553017583</v>
      </c>
      <c r="AQ19" s="38">
        <f t="shared" si="27"/>
        <v>10.994652358480311</v>
      </c>
      <c r="AR19" s="38">
        <f t="shared" si="28"/>
        <v>0.74926554998512984</v>
      </c>
      <c r="AS19" s="38">
        <f t="shared" si="29"/>
        <v>2.5612648902552904</v>
      </c>
      <c r="AT19" s="38">
        <f t="shared" si="30"/>
        <v>3.6179951609057999</v>
      </c>
      <c r="AU19" s="38">
        <f>(((U19*3)+(V19*3)+(2*W19)+(2*X19)+(Y19)+(Z19)+(AB19)))/((Branco2!$P$10*3))*100</f>
        <v>100.05021304357456</v>
      </c>
      <c r="AV19" s="151">
        <f t="shared" si="39"/>
        <v>0.18128534527464232</v>
      </c>
      <c r="AW19" s="186">
        <f t="shared" si="31"/>
        <v>3.6412711917789995E-3</v>
      </c>
      <c r="AX19" s="23">
        <f t="shared" si="42"/>
        <v>8.1879051763949259E-2</v>
      </c>
      <c r="AY19" s="23">
        <f t="shared" si="42"/>
        <v>8.0299970761838965E-2</v>
      </c>
      <c r="AZ19" s="23">
        <f t="shared" si="42"/>
        <v>5.2848402325904403E-2</v>
      </c>
      <c r="BA19" s="23">
        <f t="shared" si="42"/>
        <v>1.0944593752480468E-2</v>
      </c>
      <c r="BB19" s="151">
        <f t="shared" si="43"/>
        <v>0</v>
      </c>
      <c r="BC19" s="39">
        <f t="shared" si="32"/>
        <v>0.15584640700814117</v>
      </c>
      <c r="BD19" s="23">
        <f t="shared" si="33"/>
        <v>2.4621030865419544</v>
      </c>
      <c r="BE19">
        <f t="shared" si="34"/>
        <v>2.2524141798695831</v>
      </c>
      <c r="BF19">
        <f t="shared" si="35"/>
        <v>0.84768837330750657</v>
      </c>
      <c r="BG19">
        <f t="shared" si="36"/>
        <v>0.30655807100697791</v>
      </c>
      <c r="BH19" s="14">
        <f t="shared" si="37"/>
        <v>0</v>
      </c>
      <c r="BI19" s="109">
        <f t="shared" si="44"/>
        <v>5.094081433111799E-8</v>
      </c>
      <c r="BJ19" s="1">
        <f t="shared" si="45"/>
        <v>0.30114262743528547</v>
      </c>
    </row>
    <row r="20" spans="2:62" ht="15.75" thickBot="1" x14ac:dyDescent="0.3">
      <c r="B20" s="5"/>
      <c r="C20" s="3"/>
      <c r="G20" s="181">
        <f t="shared" si="12"/>
        <v>0.71553730044716024</v>
      </c>
      <c r="H20" s="84">
        <v>13</v>
      </c>
      <c r="I20" s="84">
        <v>180</v>
      </c>
      <c r="J20" s="85">
        <v>35364</v>
      </c>
      <c r="K20" s="86">
        <v>73</v>
      </c>
      <c r="L20" s="86">
        <v>16</v>
      </c>
      <c r="M20" s="86">
        <v>17</v>
      </c>
      <c r="N20" s="86">
        <v>9</v>
      </c>
      <c r="O20" s="86">
        <v>49423</v>
      </c>
      <c r="P20" s="86">
        <v>3</v>
      </c>
      <c r="Q20" s="86">
        <v>0</v>
      </c>
      <c r="R20" s="86">
        <v>12</v>
      </c>
      <c r="S20" s="86"/>
      <c r="T20" s="87"/>
      <c r="U20" s="88">
        <f t="shared" si="8"/>
        <v>5.2860609964126529E-6</v>
      </c>
      <c r="V20" s="164">
        <f t="shared" si="4"/>
        <v>1.1474191291070252E-8</v>
      </c>
      <c r="W20" s="164">
        <f t="shared" si="13"/>
        <v>2.3672080527044789E-9</v>
      </c>
      <c r="X20" s="164">
        <f t="shared" si="6"/>
        <v>2.6448059042458548E-9</v>
      </c>
      <c r="Y20" s="164">
        <f t="shared" si="7"/>
        <v>1.8430361974258571E-9</v>
      </c>
      <c r="Z20" s="164">
        <f t="shared" si="14"/>
        <v>2.5445464844330334E-10</v>
      </c>
      <c r="AA20" s="164">
        <f t="shared" si="15"/>
        <v>0</v>
      </c>
      <c r="AB20" s="164">
        <f t="shared" si="16"/>
        <v>1.3047291922730605E-9</v>
      </c>
      <c r="AC20" s="164">
        <f t="shared" si="2"/>
        <v>0</v>
      </c>
      <c r="AD20" s="89">
        <f t="shared" si="3"/>
        <v>0</v>
      </c>
      <c r="AE20" s="37">
        <f>((Branco2!$P$10-U20)/(Branco2!$P$10))*100</f>
        <v>6.2054088461776464</v>
      </c>
      <c r="AF20" s="91"/>
      <c r="AG20" s="92">
        <f t="shared" si="17"/>
        <v>57.692809390260358</v>
      </c>
      <c r="AH20" s="92">
        <f t="shared" si="18"/>
        <v>13.510522820207289</v>
      </c>
      <c r="AI20" s="92">
        <f t="shared" si="19"/>
        <v>13.298216757693504</v>
      </c>
      <c r="AJ20" s="92">
        <f t="shared" si="20"/>
        <v>9.2668784527055177</v>
      </c>
      <c r="AK20" s="92">
        <f t="shared" si="21"/>
        <v>1.2794107365570961</v>
      </c>
      <c r="AL20" s="92">
        <f t="shared" si="22"/>
        <v>0</v>
      </c>
      <c r="AM20" s="92">
        <f t="shared" si="23"/>
        <v>6.5602438277544985</v>
      </c>
      <c r="AN20" s="91">
        <f t="shared" si="24"/>
        <v>0</v>
      </c>
      <c r="AO20" s="38">
        <f t="shared" si="25"/>
        <v>71.940274723845363</v>
      </c>
      <c r="AP20" s="38">
        <f t="shared" si="26"/>
        <v>9.8945301572926692</v>
      </c>
      <c r="AQ20" s="38">
        <f t="shared" si="27"/>
        <v>11.054842327799928</v>
      </c>
      <c r="AR20" s="38">
        <f t="shared" si="28"/>
        <v>0.53178874366559081</v>
      </c>
      <c r="AS20" s="38">
        <f t="shared" si="29"/>
        <v>2.7267739152240753</v>
      </c>
      <c r="AT20" s="38">
        <f t="shared" si="30"/>
        <v>3.8517901321723662</v>
      </c>
      <c r="AU20" s="38">
        <f>(((U20*3)+(V20*3)+(2*W20)+(2*X20)+(Y20)+(Z20)+(AB20)))/((Branco2!$P$10*3))*100</f>
        <v>94.077597137757436</v>
      </c>
      <c r="AV20" s="101">
        <f t="shared" si="39"/>
        <v>4.4641881716780016</v>
      </c>
      <c r="AW20" s="186">
        <f t="shared" si="31"/>
        <v>8.9667037120873191E-2</v>
      </c>
      <c r="AX20" s="93">
        <f t="shared" si="42"/>
        <v>2.0207571726278952</v>
      </c>
      <c r="AY20" s="93">
        <f t="shared" si="42"/>
        <v>1.989002739115119</v>
      </c>
      <c r="AZ20" s="93">
        <f t="shared" si="42"/>
        <v>1.3860389675792175</v>
      </c>
      <c r="BA20" s="93">
        <f t="shared" si="42"/>
        <v>0.19136035348447186</v>
      </c>
      <c r="BB20" s="101">
        <f t="shared" si="43"/>
        <v>0</v>
      </c>
      <c r="BC20" s="92">
        <f t="shared" si="32"/>
        <v>3.8377491887733721</v>
      </c>
      <c r="BD20" s="93">
        <f t="shared" si="33"/>
        <v>60.764168180920812</v>
      </c>
      <c r="BE20" s="99">
        <f t="shared" si="34"/>
        <v>55.791526832179088</v>
      </c>
      <c r="BF20" s="99">
        <f t="shared" si="35"/>
        <v>22.232065039970649</v>
      </c>
      <c r="BG20" s="99">
        <f t="shared" si="36"/>
        <v>5.3600035011000573</v>
      </c>
      <c r="BH20" s="100">
        <f t="shared" si="37"/>
        <v>0</v>
      </c>
      <c r="BI20" s="109">
        <f t="shared" si="44"/>
        <v>4.7848821825253639E-8</v>
      </c>
      <c r="BJ20" s="1">
        <f t="shared" si="45"/>
        <v>0.30082186678372586</v>
      </c>
    </row>
    <row r="21" spans="2:62" x14ac:dyDescent="0.25">
      <c r="B21" s="224" t="s">
        <v>20</v>
      </c>
      <c r="C21" s="24">
        <v>10</v>
      </c>
      <c r="D21" s="13" t="s">
        <v>21</v>
      </c>
      <c r="G21" s="181">
        <f t="shared" si="12"/>
        <v>0.78627500633071667</v>
      </c>
      <c r="H21" s="17">
        <v>14</v>
      </c>
      <c r="I21" s="17">
        <v>195</v>
      </c>
      <c r="J21" s="40">
        <v>37260</v>
      </c>
      <c r="K21" s="41">
        <v>72</v>
      </c>
      <c r="L21" s="41">
        <v>16</v>
      </c>
      <c r="M21" s="41">
        <v>18</v>
      </c>
      <c r="N21" s="41">
        <v>9</v>
      </c>
      <c r="O21" s="41">
        <v>47388</v>
      </c>
      <c r="P21" s="41">
        <v>2</v>
      </c>
      <c r="Q21" s="41">
        <v>0</v>
      </c>
      <c r="R21" s="41">
        <v>12</v>
      </c>
      <c r="S21" s="41"/>
      <c r="T21" s="42"/>
      <c r="U21" s="32">
        <f t="shared" si="8"/>
        <v>5.5694670491555093E-6</v>
      </c>
      <c r="V21" s="163">
        <f t="shared" si="4"/>
        <v>1.1317010588452851E-8</v>
      </c>
      <c r="W21" s="163">
        <f t="shared" si="13"/>
        <v>2.3672080527044789E-9</v>
      </c>
      <c r="X21" s="163">
        <f t="shared" si="6"/>
        <v>2.8003827221426698E-9</v>
      </c>
      <c r="Y21" s="163">
        <f t="shared" si="7"/>
        <v>1.8430361974258571E-9</v>
      </c>
      <c r="Z21" s="163">
        <f t="shared" si="14"/>
        <v>3.8168197266495503E-10</v>
      </c>
      <c r="AA21" s="163">
        <f t="shared" si="15"/>
        <v>0</v>
      </c>
      <c r="AB21" s="163">
        <f t="shared" si="16"/>
        <v>1.522184057651904E-9</v>
      </c>
      <c r="AC21" s="163">
        <f t="shared" si="2"/>
        <v>0</v>
      </c>
      <c r="AD21" s="33">
        <f t="shared" si="3"/>
        <v>0</v>
      </c>
      <c r="AE21" s="37">
        <f>((Branco2!$P$10-U21)/(Branco2!$P$10))*100</f>
        <v>1.1767202128882306</v>
      </c>
      <c r="AF21" s="38"/>
      <c r="AG21" s="39">
        <f t="shared" si="17"/>
        <v>55.937565577001116</v>
      </c>
      <c r="AH21" s="39">
        <f t="shared" si="18"/>
        <v>13.25105738216353</v>
      </c>
      <c r="AI21" s="39">
        <f t="shared" si="19"/>
        <v>13.841693522880377</v>
      </c>
      <c r="AJ21" s="39">
        <f t="shared" si="20"/>
        <v>9.109734178342741</v>
      </c>
      <c r="AK21" s="39">
        <f t="shared" si="21"/>
        <v>1.8865724484953297</v>
      </c>
      <c r="AL21" s="39">
        <f t="shared" si="22"/>
        <v>0</v>
      </c>
      <c r="AM21" s="39">
        <f t="shared" si="23"/>
        <v>7.5238305981658984</v>
      </c>
      <c r="AN21" s="38">
        <f t="shared" si="24"/>
        <v>0</v>
      </c>
      <c r="AO21" s="38">
        <f t="shared" si="25"/>
        <v>70.682551780572197</v>
      </c>
      <c r="AP21" s="38">
        <f t="shared" si="26"/>
        <v>9.8565667704623152</v>
      </c>
      <c r="AQ21" s="38">
        <f t="shared" si="27"/>
        <v>11.660216875366505</v>
      </c>
      <c r="AR21" s="38">
        <f t="shared" si="28"/>
        <v>0.79462256060590497</v>
      </c>
      <c r="AS21" s="38">
        <f t="shared" si="29"/>
        <v>3.1690304500354545</v>
      </c>
      <c r="AT21" s="38">
        <f t="shared" si="30"/>
        <v>3.8370115629576143</v>
      </c>
      <c r="AU21" s="38">
        <f>(((U21*3)+(V21*3)+(2*W21)+(2*X21)+(Y21)+(Z21)+(AB21)))/((Branco2!$P$10*3))*100</f>
        <v>99.107375792135699</v>
      </c>
      <c r="AV21" s="151">
        <f t="shared" si="39"/>
        <v>0.83173587378718294</v>
      </c>
      <c r="AW21" s="186">
        <f t="shared" si="31"/>
        <v>1.6706126310442767E-2</v>
      </c>
      <c r="AX21" s="23">
        <f t="shared" si="42"/>
        <v>0.37583335541238194</v>
      </c>
      <c r="AY21" s="23">
        <f t="shared" si="42"/>
        <v>0.3925852836692339</v>
      </c>
      <c r="AZ21" s="23">
        <f t="shared" si="42"/>
        <v>0.25837500090897714</v>
      </c>
      <c r="BA21" s="23">
        <f t="shared" si="42"/>
        <v>5.3507945298082074E-2</v>
      </c>
      <c r="BB21" s="151">
        <f t="shared" si="43"/>
        <v>0</v>
      </c>
      <c r="BC21" s="39">
        <f t="shared" si="32"/>
        <v>0.71502220608695033</v>
      </c>
      <c r="BD21" s="23">
        <f t="shared" si="33"/>
        <v>11.301308997250326</v>
      </c>
      <c r="BE21">
        <f t="shared" si="34"/>
        <v>11.01201720692201</v>
      </c>
      <c r="BF21">
        <f t="shared" si="35"/>
        <v>4.1443350145799931</v>
      </c>
      <c r="BG21">
        <f t="shared" si="36"/>
        <v>1.4987575477992789</v>
      </c>
      <c r="BH21" s="14">
        <f t="shared" si="37"/>
        <v>0</v>
      </c>
      <c r="BI21" s="109">
        <f t="shared" si="44"/>
        <v>4.8033115542795565E-8</v>
      </c>
      <c r="BJ21" s="1">
        <f t="shared" si="45"/>
        <v>0.28665475475788482</v>
      </c>
    </row>
    <row r="22" spans="2:62" x14ac:dyDescent="0.25">
      <c r="B22" s="229"/>
      <c r="C22" s="23">
        <f>(C21/1000)*60</f>
        <v>0.6</v>
      </c>
      <c r="D22" s="14" t="s">
        <v>22</v>
      </c>
      <c r="G22" s="181">
        <f t="shared" si="12"/>
        <v>0.78747099767981443</v>
      </c>
      <c r="H22" s="17">
        <v>15</v>
      </c>
      <c r="I22" s="17">
        <v>210</v>
      </c>
      <c r="J22" s="40">
        <v>37334</v>
      </c>
      <c r="K22" s="41">
        <v>72</v>
      </c>
      <c r="L22" s="41">
        <v>16</v>
      </c>
      <c r="M22" s="41">
        <v>18</v>
      </c>
      <c r="N22" s="41">
        <v>9</v>
      </c>
      <c r="O22" s="41">
        <v>47410</v>
      </c>
      <c r="P22" s="41">
        <v>3</v>
      </c>
      <c r="Q22" s="41">
        <v>0</v>
      </c>
      <c r="R22" s="41">
        <v>14</v>
      </c>
      <c r="S22" s="41"/>
      <c r="T22" s="42"/>
      <c r="U22" s="32">
        <f t="shared" si="8"/>
        <v>5.5805282558553888E-6</v>
      </c>
      <c r="V22" s="163">
        <f t="shared" si="4"/>
        <v>1.1317010588452851E-8</v>
      </c>
      <c r="W22" s="163">
        <f t="shared" si="13"/>
        <v>2.3672080527044789E-9</v>
      </c>
      <c r="X22" s="163">
        <f t="shared" si="6"/>
        <v>2.8003827221426698E-9</v>
      </c>
      <c r="Y22" s="163">
        <f t="shared" si="7"/>
        <v>1.8430361974258571E-9</v>
      </c>
      <c r="Z22" s="163">
        <f t="shared" si="14"/>
        <v>2.5445464844330334E-10</v>
      </c>
      <c r="AA22" s="163">
        <f t="shared" si="15"/>
        <v>0</v>
      </c>
      <c r="AB22" s="163">
        <f t="shared" si="16"/>
        <v>1.1960017595836388E-9</v>
      </c>
      <c r="AC22" s="163">
        <f t="shared" si="2"/>
        <v>0</v>
      </c>
      <c r="AD22" s="33">
        <f t="shared" si="3"/>
        <v>0</v>
      </c>
      <c r="AE22" s="37">
        <f>((Branco2!$P$10-U22)/(Branco2!$P$10))*100</f>
        <v>0.98045282952144863</v>
      </c>
      <c r="AF22" s="38"/>
      <c r="AG22" s="39">
        <f t="shared" si="17"/>
        <v>57.21992526849391</v>
      </c>
      <c r="AH22" s="39">
        <f t="shared" si="18"/>
        <v>13.596137865233656</v>
      </c>
      <c r="AI22" s="39">
        <f t="shared" si="19"/>
        <v>14.159012120009972</v>
      </c>
      <c r="AJ22" s="39">
        <f t="shared" si="20"/>
        <v>9.3185733687869554</v>
      </c>
      <c r="AK22" s="39">
        <f t="shared" si="21"/>
        <v>1.2865478789074092</v>
      </c>
      <c r="AL22" s="39">
        <f t="shared" si="22"/>
        <v>0</v>
      </c>
      <c r="AM22" s="39">
        <f t="shared" si="23"/>
        <v>6.047103231854341</v>
      </c>
      <c r="AN22" s="38">
        <f t="shared" si="24"/>
        <v>0</v>
      </c>
      <c r="AO22" s="38">
        <f t="shared" si="25"/>
        <v>71.356119396960196</v>
      </c>
      <c r="AP22" s="38">
        <f t="shared" si="26"/>
        <v>9.9504946779600516</v>
      </c>
      <c r="AQ22" s="38">
        <f t="shared" si="27"/>
        <v>11.771332621607382</v>
      </c>
      <c r="AR22" s="38">
        <f t="shared" si="28"/>
        <v>0.53479659766799825</v>
      </c>
      <c r="AS22" s="38">
        <f t="shared" si="29"/>
        <v>2.5136804367430789</v>
      </c>
      <c r="AT22" s="38">
        <f t="shared" si="30"/>
        <v>3.8735762690612914</v>
      </c>
      <c r="AU22" s="38">
        <f>(((U22*3)+(V22*3)+(2*W22)+(2*X22)+(Y22)+(Z22)+(AB22)))/((Branco2!$P$10*3))*100</f>
        <v>99.300961445182111</v>
      </c>
      <c r="AV22" s="151">
        <f t="shared" si="39"/>
        <v>0.69961309166419949</v>
      </c>
      <c r="AW22" s="186">
        <f t="shared" si="31"/>
        <v>1.4052327242496774E-2</v>
      </c>
      <c r="AX22" s="23">
        <f t="shared" si="42"/>
        <v>0.32130230197104126</v>
      </c>
      <c r="AY22" s="23">
        <f t="shared" si="42"/>
        <v>0.33460407895892536</v>
      </c>
      <c r="AZ22" s="23">
        <f t="shared" si="42"/>
        <v>0.22021541000502606</v>
      </c>
      <c r="BA22" s="23">
        <f t="shared" si="42"/>
        <v>3.0403545417550606E-2</v>
      </c>
      <c r="BB22" s="151">
        <f t="shared" si="43"/>
        <v>0</v>
      </c>
      <c r="BC22" s="39">
        <f t="shared" si="32"/>
        <v>0.60143960597886192</v>
      </c>
      <c r="BD22" s="23">
        <f t="shared" si="33"/>
        <v>9.6615602202692106</v>
      </c>
      <c r="BE22">
        <f t="shared" si="34"/>
        <v>9.3856444147978557</v>
      </c>
      <c r="BF22">
        <f t="shared" si="35"/>
        <v>3.5322551764806178</v>
      </c>
      <c r="BG22">
        <f t="shared" si="36"/>
        <v>0.85160330714559251</v>
      </c>
      <c r="BH22" s="14">
        <f t="shared" si="37"/>
        <v>0</v>
      </c>
      <c r="BI22" s="109">
        <f t="shared" si="44"/>
        <v>4.7579705920505646E-8</v>
      </c>
      <c r="BJ22" s="1">
        <f t="shared" si="45"/>
        <v>0.28339531723358347</v>
      </c>
    </row>
    <row r="23" spans="2:62" ht="18.75" thickBot="1" x14ac:dyDescent="0.4">
      <c r="B23" s="225"/>
      <c r="C23" s="25">
        <f>(1*C22)/(0.082057*298)</f>
        <v>2.4536880690153747E-2</v>
      </c>
      <c r="D23" s="15" t="s">
        <v>23</v>
      </c>
      <c r="G23" s="181">
        <f t="shared" si="12"/>
        <v>0.67562915479582142</v>
      </c>
      <c r="H23" s="17">
        <v>16</v>
      </c>
      <c r="I23" s="17">
        <v>225</v>
      </c>
      <c r="J23" s="40">
        <v>34149</v>
      </c>
      <c r="K23" s="41">
        <v>62</v>
      </c>
      <c r="L23" s="41">
        <v>15</v>
      </c>
      <c r="M23" s="41">
        <v>16</v>
      </c>
      <c r="N23" s="41">
        <v>8</v>
      </c>
      <c r="O23" s="41">
        <v>50544</v>
      </c>
      <c r="P23" s="41">
        <v>2</v>
      </c>
      <c r="Q23" s="41">
        <v>0</v>
      </c>
      <c r="R23" s="41">
        <v>11</v>
      </c>
      <c r="S23" s="41"/>
      <c r="T23" s="42"/>
      <c r="U23" s="32">
        <f t="shared" si="8"/>
        <v>5.1044479404619299E-6</v>
      </c>
      <c r="V23" s="163">
        <f t="shared" si="4"/>
        <v>9.7452035622788445E-9</v>
      </c>
      <c r="W23" s="163">
        <f t="shared" si="13"/>
        <v>2.219257549410449E-9</v>
      </c>
      <c r="X23" s="163">
        <f t="shared" si="6"/>
        <v>2.4892290863490398E-9</v>
      </c>
      <c r="Y23" s="163">
        <f t="shared" si="7"/>
        <v>1.638254397711873E-9</v>
      </c>
      <c r="Z23" s="163">
        <f t="shared" si="14"/>
        <v>2.5445464844330334E-10</v>
      </c>
      <c r="AA23" s="163">
        <f t="shared" si="15"/>
        <v>0</v>
      </c>
      <c r="AB23" s="163">
        <f t="shared" si="16"/>
        <v>1.4134566249624821E-9</v>
      </c>
      <c r="AC23" s="163">
        <f t="shared" si="2"/>
        <v>0</v>
      </c>
      <c r="AD23" s="33">
        <f t="shared" si="3"/>
        <v>0</v>
      </c>
      <c r="AE23" s="37">
        <f>((Branco2!$P$10-U23)/(Branco2!$P$10))*100</f>
        <v>9.4279071001052017</v>
      </c>
      <c r="AF23" s="38"/>
      <c r="AG23" s="39">
        <f t="shared" si="17"/>
        <v>54.872086992572932</v>
      </c>
      <c r="AH23" s="39">
        <f t="shared" si="18"/>
        <v>14.280386789166988</v>
      </c>
      <c r="AI23" s="39">
        <f t="shared" si="19"/>
        <v>14.01604328710882</v>
      </c>
      <c r="AJ23" s="39">
        <f t="shared" si="20"/>
        <v>9.2244802535648542</v>
      </c>
      <c r="AK23" s="39">
        <f t="shared" si="21"/>
        <v>1.4327517650929895</v>
      </c>
      <c r="AL23" s="39">
        <f t="shared" si="22"/>
        <v>0</v>
      </c>
      <c r="AM23" s="39">
        <f t="shared" si="23"/>
        <v>7.9587167563520005</v>
      </c>
      <c r="AN23" s="38">
        <f t="shared" si="24"/>
        <v>0</v>
      </c>
      <c r="AO23" s="38">
        <f t="shared" si="25"/>
        <v>69.677030285717834</v>
      </c>
      <c r="AP23" s="38">
        <f t="shared" si="26"/>
        <v>10.578282570420408</v>
      </c>
      <c r="AQ23" s="38">
        <f t="shared" si="27"/>
        <v>11.865125192389076</v>
      </c>
      <c r="AR23" s="38">
        <f t="shared" si="28"/>
        <v>0.60644001713665519</v>
      </c>
      <c r="AS23" s="38">
        <f t="shared" si="29"/>
        <v>3.3686814727425172</v>
      </c>
      <c r="AT23" s="38">
        <f t="shared" si="30"/>
        <v>3.9044404615935231</v>
      </c>
      <c r="AU23" s="38">
        <f>(((U23*3)+(V23*3)+(2*W23)+(2*X23)+(Y23)+(Z23)+(AB23)))/((Branco2!$P$10*3))*100</f>
        <v>90.820261543773697</v>
      </c>
      <c r="AV23" s="151">
        <f t="shared" si="39"/>
        <v>6.5690856854496431</v>
      </c>
      <c r="AW23" s="186">
        <f t="shared" si="31"/>
        <v>0.13194570375513648</v>
      </c>
      <c r="AX23" s="23">
        <f t="shared" si="42"/>
        <v>3.2450906883930437</v>
      </c>
      <c r="AY23" s="23">
        <f t="shared" si="42"/>
        <v>3.1850209823177926</v>
      </c>
      <c r="AZ23" s="23">
        <f t="shared" si="42"/>
        <v>2.0961809661077782</v>
      </c>
      <c r="BA23" s="23">
        <f t="shared" si="42"/>
        <v>0.32558007568877406</v>
      </c>
      <c r="BB23" s="151">
        <f t="shared" si="43"/>
        <v>0</v>
      </c>
      <c r="BC23" s="39">
        <f t="shared" si="32"/>
        <v>5.647276120719841</v>
      </c>
      <c r="BD23" s="23">
        <f t="shared" si="33"/>
        <v>97.579876999978822</v>
      </c>
      <c r="BE23">
        <f t="shared" si="34"/>
        <v>89.339838554014079</v>
      </c>
      <c r="BF23">
        <f t="shared" si="35"/>
        <v>33.622742696368761</v>
      </c>
      <c r="BG23">
        <f t="shared" si="36"/>
        <v>9.1194979200425621</v>
      </c>
      <c r="BH23" s="14">
        <f t="shared" si="37"/>
        <v>0</v>
      </c>
      <c r="BI23" s="109">
        <f t="shared" si="44"/>
        <v>4.1958749629473171E-8</v>
      </c>
      <c r="BJ23" s="1">
        <f t="shared" si="45"/>
        <v>0.27325250958372316</v>
      </c>
    </row>
    <row r="24" spans="2:62" x14ac:dyDescent="0.25">
      <c r="B24" s="224" t="s">
        <v>83</v>
      </c>
      <c r="C24" s="24">
        <v>20</v>
      </c>
      <c r="D24" s="13" t="s">
        <v>21</v>
      </c>
      <c r="G24" s="181">
        <f t="shared" si="12"/>
        <v>0.79163776250236484</v>
      </c>
      <c r="H24" s="84">
        <v>17</v>
      </c>
      <c r="I24" s="84">
        <v>240</v>
      </c>
      <c r="J24" s="85">
        <v>37659</v>
      </c>
      <c r="K24" s="86">
        <v>67</v>
      </c>
      <c r="L24" s="86">
        <v>16</v>
      </c>
      <c r="M24" s="86">
        <v>18</v>
      </c>
      <c r="N24" s="86">
        <v>9</v>
      </c>
      <c r="O24" s="86">
        <v>47571</v>
      </c>
      <c r="P24" s="86">
        <v>2</v>
      </c>
      <c r="Q24" s="86">
        <v>0</v>
      </c>
      <c r="R24" s="86">
        <v>13</v>
      </c>
      <c r="S24" s="86"/>
      <c r="T24" s="87"/>
      <c r="U24" s="88">
        <f t="shared" si="8"/>
        <v>5.6291078798751294E-6</v>
      </c>
      <c r="V24" s="164">
        <f t="shared" si="4"/>
        <v>1.0531107075365848E-8</v>
      </c>
      <c r="W24" s="164">
        <f t="shared" si="13"/>
        <v>2.3672080527044789E-9</v>
      </c>
      <c r="X24" s="164">
        <f t="shared" si="6"/>
        <v>2.8003827221426698E-9</v>
      </c>
      <c r="Y24" s="164">
        <f t="shared" si="7"/>
        <v>1.8430361974258571E-9</v>
      </c>
      <c r="Z24" s="164">
        <f t="shared" si="14"/>
        <v>2.5445464844330334E-10</v>
      </c>
      <c r="AA24" s="164">
        <f t="shared" si="15"/>
        <v>0</v>
      </c>
      <c r="AB24" s="164">
        <f t="shared" si="16"/>
        <v>1.3047291922730605E-9</v>
      </c>
      <c r="AC24" s="164">
        <f t="shared" si="2"/>
        <v>0</v>
      </c>
      <c r="AD24" s="89">
        <f t="shared" si="3"/>
        <v>0</v>
      </c>
      <c r="AE24" s="37">
        <f>((Branco2!$P$10-U24)/(Branco2!$P$10))*100</f>
        <v>0.1184676998700476</v>
      </c>
      <c r="AF24" s="91"/>
      <c r="AG24" s="92">
        <f t="shared" si="17"/>
        <v>55.134036683054312</v>
      </c>
      <c r="AH24" s="92">
        <f t="shared" si="18"/>
        <v>14.146343374863612</v>
      </c>
      <c r="AI24" s="92">
        <f t="shared" si="19"/>
        <v>14.660985082030583</v>
      </c>
      <c r="AJ24" s="92">
        <f t="shared" si="20"/>
        <v>9.6489404760462065</v>
      </c>
      <c r="AK24" s="92">
        <f t="shared" si="21"/>
        <v>1.3321592707250491</v>
      </c>
      <c r="AL24" s="92">
        <f t="shared" si="22"/>
        <v>0</v>
      </c>
      <c r="AM24" s="92">
        <f t="shared" si="23"/>
        <v>6.8307146279524211</v>
      </c>
      <c r="AN24" s="91">
        <f t="shared" si="24"/>
        <v>0</v>
      </c>
      <c r="AO24" s="38">
        <f t="shared" si="25"/>
        <v>69.69516315849738</v>
      </c>
      <c r="AP24" s="38">
        <f t="shared" si="26"/>
        <v>10.444166365583877</v>
      </c>
      <c r="AQ24" s="38">
        <f t="shared" si="27"/>
        <v>12.355341138667526</v>
      </c>
      <c r="AR24" s="38">
        <f t="shared" si="28"/>
        <v>0.56132934276769886</v>
      </c>
      <c r="AS24" s="38">
        <f t="shared" si="29"/>
        <v>2.8782448442935578</v>
      </c>
      <c r="AT24" s="38">
        <f t="shared" si="30"/>
        <v>4.0657551501899567</v>
      </c>
      <c r="AU24" s="38">
        <f>(((U24*3)+(V24*3)+(2*W24)+(2*X24)+(Y24)+(Z24)+(AB24)))/((Branco2!$P$10*3))*100</f>
        <v>100.14964477026136</v>
      </c>
      <c r="AV24" s="101">
        <f t="shared" si="39"/>
        <v>8.2566256714548661E-2</v>
      </c>
      <c r="AW24" s="186">
        <f t="shared" si="31"/>
        <v>1.6584138752762654E-3</v>
      </c>
      <c r="AX24" s="93">
        <f t="shared" si="42"/>
        <v>4.0393894337735152E-2</v>
      </c>
      <c r="AY24" s="93">
        <f t="shared" si="42"/>
        <v>4.1863417746733744E-2</v>
      </c>
      <c r="AZ24" s="93">
        <f t="shared" si="42"/>
        <v>2.7551874836649375E-2</v>
      </c>
      <c r="BA24" s="93">
        <f t="shared" si="42"/>
        <v>3.8038876476247522E-3</v>
      </c>
      <c r="BB24" s="101">
        <f t="shared" si="43"/>
        <v>0</v>
      </c>
      <c r="BC24" s="92">
        <f t="shared" si="32"/>
        <v>7.0980113861824151E-2</v>
      </c>
      <c r="BD24" s="93">
        <f t="shared" si="33"/>
        <v>1.214644402735696</v>
      </c>
      <c r="BE24" s="99">
        <f t="shared" si="34"/>
        <v>1.1742688677958815</v>
      </c>
      <c r="BF24" s="99">
        <f t="shared" si="35"/>
        <v>0.44193207237985593</v>
      </c>
      <c r="BG24" s="99">
        <f t="shared" si="36"/>
        <v>0.10654689300996932</v>
      </c>
      <c r="BH24" s="100">
        <f t="shared" si="37"/>
        <v>0</v>
      </c>
      <c r="BI24" s="109">
        <f t="shared" si="44"/>
        <v>4.5330722813934051E-8</v>
      </c>
      <c r="BJ24" s="1">
        <f t="shared" si="45"/>
        <v>0.26771185334349246</v>
      </c>
    </row>
    <row r="25" spans="2:62" x14ac:dyDescent="0.25">
      <c r="B25" s="229"/>
      <c r="C25" s="23">
        <f>(C24/1000)*60</f>
        <v>1.2</v>
      </c>
      <c r="D25" s="14" t="s">
        <v>22</v>
      </c>
      <c r="G25" s="181">
        <f t="shared" si="12"/>
        <v>0.78366194809571954</v>
      </c>
      <c r="H25" s="17">
        <v>18</v>
      </c>
      <c r="I25" s="17">
        <v>255</v>
      </c>
      <c r="J25" s="40">
        <v>37202</v>
      </c>
      <c r="K25" s="41">
        <v>65</v>
      </c>
      <c r="L25" s="41">
        <v>16</v>
      </c>
      <c r="M25" s="41">
        <v>17</v>
      </c>
      <c r="N25" s="41">
        <v>9</v>
      </c>
      <c r="O25" s="41">
        <v>47472</v>
      </c>
      <c r="P25" s="41">
        <v>2</v>
      </c>
      <c r="Q25" s="41">
        <v>0</v>
      </c>
      <c r="R25" s="41">
        <v>12</v>
      </c>
      <c r="S25" s="41"/>
      <c r="T25" s="42"/>
      <c r="U25" s="32">
        <f t="shared" si="8"/>
        <v>5.5607974547150632E-6</v>
      </c>
      <c r="V25" s="164">
        <f t="shared" si="4"/>
        <v>1.0216745670131046E-8</v>
      </c>
      <c r="W25" s="164">
        <f t="shared" si="13"/>
        <v>2.3672080527044789E-9</v>
      </c>
      <c r="X25" s="163">
        <f t="shared" si="6"/>
        <v>2.6448059042458548E-9</v>
      </c>
      <c r="Y25" s="163">
        <f t="shared" si="7"/>
        <v>1.8430361974258571E-9</v>
      </c>
      <c r="Z25" s="163">
        <f t="shared" si="14"/>
        <v>2.5445464844330334E-10</v>
      </c>
      <c r="AA25" s="163">
        <f t="shared" si="15"/>
        <v>0</v>
      </c>
      <c r="AB25" s="163">
        <f t="shared" si="16"/>
        <v>1.4134566249624821E-9</v>
      </c>
      <c r="AC25" s="163">
        <f t="shared" si="2"/>
        <v>0</v>
      </c>
      <c r="AD25" s="33">
        <f t="shared" si="3"/>
        <v>0</v>
      </c>
      <c r="AE25" s="37">
        <f>((Branco2!$P$10-U25)/(Branco2!$P$10))*100</f>
        <v>1.3305514052567913</v>
      </c>
      <c r="AF25" s="38"/>
      <c r="AG25" s="39">
        <f t="shared" si="17"/>
        <v>54.51923883735008</v>
      </c>
      <c r="AH25" s="39">
        <f t="shared" si="18"/>
        <v>14.458440621483797</v>
      </c>
      <c r="AI25" s="39">
        <f t="shared" si="19"/>
        <v>14.113379096199417</v>
      </c>
      <c r="AJ25" s="39">
        <f t="shared" si="20"/>
        <v>9.8349253155141891</v>
      </c>
      <c r="AK25" s="39">
        <f t="shared" si="21"/>
        <v>1.357836849390464</v>
      </c>
      <c r="AL25" s="39">
        <f t="shared" si="22"/>
        <v>0</v>
      </c>
      <c r="AM25" s="39">
        <f t="shared" si="23"/>
        <v>7.5425758661932019</v>
      </c>
      <c r="AN25" s="38">
        <f t="shared" si="24"/>
        <v>0</v>
      </c>
      <c r="AO25" s="38">
        <f t="shared" si="25"/>
        <v>69.367635344386173</v>
      </c>
      <c r="AP25" s="38">
        <f t="shared" si="26"/>
        <v>10.714933455726159</v>
      </c>
      <c r="AQ25" s="38">
        <f t="shared" si="27"/>
        <v>11.971452714065181</v>
      </c>
      <c r="AR25" s="38">
        <f t="shared" si="28"/>
        <v>0.57588191761498708</v>
      </c>
      <c r="AS25" s="38">
        <f t="shared" si="29"/>
        <v>3.1989359071597812</v>
      </c>
      <c r="AT25" s="38">
        <f t="shared" si="30"/>
        <v>4.1711606610477281</v>
      </c>
      <c r="AU25" s="38">
        <f>(((U25*3)+(V25*3)+(2*W25)+(2*X25)+(Y25)+(Z25)+(AB25)))/((Branco2!$P$10*3))*100</f>
        <v>98.930785844695365</v>
      </c>
      <c r="AV25" s="151">
        <f t="shared" si="39"/>
        <v>0.92297204686813683</v>
      </c>
      <c r="AW25" s="186">
        <f t="shared" si="31"/>
        <v>1.8538682870293439E-2</v>
      </c>
      <c r="AX25" s="23">
        <f t="shared" si="42"/>
        <v>0.46368675100414591</v>
      </c>
      <c r="AY25" s="23">
        <f t="shared" si="42"/>
        <v>0.45262051905393785</v>
      </c>
      <c r="AZ25" s="23">
        <f t="shared" si="42"/>
        <v>0.31540915685907456</v>
      </c>
      <c r="BA25" s="23">
        <f t="shared" si="42"/>
        <v>4.3546256029300352E-2</v>
      </c>
      <c r="BB25" s="151">
        <f t="shared" si="43"/>
        <v>0</v>
      </c>
      <c r="BC25" s="39">
        <f t="shared" si="32"/>
        <v>0.79345562684855908</v>
      </c>
      <c r="BD25" s="23">
        <f t="shared" si="33"/>
        <v>13.943060602694668</v>
      </c>
      <c r="BE25">
        <f t="shared" si="34"/>
        <v>12.696005559462957</v>
      </c>
      <c r="BF25">
        <f t="shared" si="35"/>
        <v>5.0591628760195553</v>
      </c>
      <c r="BG25">
        <f t="shared" si="36"/>
        <v>1.219730631380703</v>
      </c>
      <c r="BH25" s="14">
        <f t="shared" si="37"/>
        <v>0</v>
      </c>
      <c r="BI25" s="109">
        <f t="shared" si="44"/>
        <v>4.4185212395125441E-8</v>
      </c>
      <c r="BJ25" s="1">
        <f t="shared" si="45"/>
        <v>0.26416170428729513</v>
      </c>
    </row>
    <row r="26" spans="2:62" ht="18.75" thickBot="1" x14ac:dyDescent="0.4">
      <c r="B26" s="225"/>
      <c r="C26" s="25">
        <f>(1*C25)/(0.082057*298)</f>
        <v>4.9073761380307494E-2</v>
      </c>
      <c r="D26" s="15" t="s">
        <v>24</v>
      </c>
      <c r="G26" s="181">
        <f t="shared" si="12"/>
        <v>0.79199408534009297</v>
      </c>
      <c r="H26" s="17">
        <v>19</v>
      </c>
      <c r="I26" s="17">
        <v>270</v>
      </c>
      <c r="J26" s="40">
        <v>37493</v>
      </c>
      <c r="K26" s="41">
        <v>65</v>
      </c>
      <c r="L26" s="41">
        <v>16</v>
      </c>
      <c r="M26" s="41">
        <v>17</v>
      </c>
      <c r="N26" s="41">
        <v>9</v>
      </c>
      <c r="O26" s="41">
        <v>47340</v>
      </c>
      <c r="P26" s="41">
        <v>2</v>
      </c>
      <c r="Q26" s="41">
        <v>0</v>
      </c>
      <c r="R26" s="41">
        <v>13</v>
      </c>
      <c r="S26" s="41"/>
      <c r="T26" s="42"/>
      <c r="U26" s="32">
        <f t="shared" si="8"/>
        <v>5.6042949026835084E-6</v>
      </c>
      <c r="V26" s="163">
        <f>K25*$D$10</f>
        <v>1.0216745670131046E-8</v>
      </c>
      <c r="W26" s="163">
        <f>(L25)*$D$11</f>
        <v>2.3672080527044789E-9</v>
      </c>
      <c r="X26" s="163">
        <f t="shared" si="6"/>
        <v>2.6448059042458548E-9</v>
      </c>
      <c r="Y26" s="163">
        <f t="shared" si="7"/>
        <v>1.8430361974258571E-9</v>
      </c>
      <c r="Z26" s="163">
        <f t="shared" si="14"/>
        <v>2.5445464844330334E-10</v>
      </c>
      <c r="AA26" s="163">
        <f t="shared" si="15"/>
        <v>0</v>
      </c>
      <c r="AB26" s="163">
        <f t="shared" si="16"/>
        <v>1.4134566249624821E-9</v>
      </c>
      <c r="AC26" s="163">
        <f t="shared" si="2"/>
        <v>0</v>
      </c>
      <c r="AD26" s="33">
        <f t="shared" si="3"/>
        <v>0</v>
      </c>
      <c r="AE26" s="37">
        <f>((Branco2!$P$10-U26)/(Branco2!$P$10))*100</f>
        <v>0.5587431814766034</v>
      </c>
      <c r="AF26" s="38"/>
      <c r="AG26" s="39">
        <f t="shared" si="17"/>
        <v>54.51923883735008</v>
      </c>
      <c r="AH26" s="39">
        <f t="shared" si="18"/>
        <v>14.458440621483797</v>
      </c>
      <c r="AI26" s="39">
        <f t="shared" si="19"/>
        <v>14.113379096199417</v>
      </c>
      <c r="AJ26" s="39">
        <f t="shared" si="20"/>
        <v>9.8349253155141891</v>
      </c>
      <c r="AK26" s="39">
        <f t="shared" si="21"/>
        <v>1.357836849390464</v>
      </c>
      <c r="AL26" s="39">
        <f t="shared" si="22"/>
        <v>0</v>
      </c>
      <c r="AM26" s="39">
        <f t="shared" si="23"/>
        <v>7.5425758661932019</v>
      </c>
      <c r="AN26" s="38">
        <f t="shared" ref="AN26:AN32" si="46">(AD26/SUM(V26,X26,Y26,Z26,AB26,AD26))*100</f>
        <v>0</v>
      </c>
      <c r="AO26" s="38">
        <f t="shared" si="25"/>
        <v>69.367635344386173</v>
      </c>
      <c r="AP26" s="38">
        <f t="shared" si="26"/>
        <v>10.714933455726159</v>
      </c>
      <c r="AQ26" s="38">
        <f t="shared" si="27"/>
        <v>11.971452714065181</v>
      </c>
      <c r="AR26" s="38">
        <f t="shared" si="28"/>
        <v>0.57588191761498708</v>
      </c>
      <c r="AS26" s="38">
        <f t="shared" si="29"/>
        <v>3.1989359071597812</v>
      </c>
      <c r="AT26" s="38">
        <f t="shared" si="30"/>
        <v>4.1711606610477281</v>
      </c>
      <c r="AU26" s="38">
        <f>(((U26*3)+(V26*3)+(2*W26)+(2*X26)+(Y26)+(Z26)+(AB26)))/((Branco2!$P$10*3))*100</f>
        <v>99.702594068475577</v>
      </c>
      <c r="AV26" s="151">
        <f t="shared" si="39"/>
        <v>0.38758693263831212</v>
      </c>
      <c r="AW26" s="186">
        <f t="shared" si="31"/>
        <v>7.7850149993524244E-3</v>
      </c>
      <c r="AX26" s="23">
        <f t="shared" si="42"/>
        <v>0.19471762567084303</v>
      </c>
      <c r="AY26" s="23">
        <f t="shared" si="42"/>
        <v>0.19007054354955968</v>
      </c>
      <c r="AZ26" s="23">
        <f t="shared" si="42"/>
        <v>0.13245088846175027</v>
      </c>
      <c r="BA26" s="23">
        <f t="shared" si="42"/>
        <v>1.8286534093367238E-2</v>
      </c>
      <c r="BB26" s="151">
        <f t="shared" si="43"/>
        <v>0</v>
      </c>
      <c r="BC26" s="39">
        <f t="shared" si="32"/>
        <v>0.33319864197228372</v>
      </c>
      <c r="BD26" s="23">
        <f t="shared" si="33"/>
        <v>5.8551590039222496</v>
      </c>
      <c r="BE26">
        <f t="shared" si="34"/>
        <v>5.331478746565149</v>
      </c>
      <c r="BF26">
        <f t="shared" si="35"/>
        <v>2.124512250926474</v>
      </c>
      <c r="BG26">
        <f t="shared" si="36"/>
        <v>0.5122058199552163</v>
      </c>
      <c r="BH26" s="14">
        <f t="shared" si="37"/>
        <v>0</v>
      </c>
      <c r="BI26" s="109">
        <f t="shared" si="44"/>
        <v>4.4185212395125441E-8</v>
      </c>
      <c r="BJ26" s="1">
        <f t="shared" si="45"/>
        <v>0.26211680086545736</v>
      </c>
    </row>
    <row r="27" spans="2:62" ht="15.75" thickBot="1" x14ac:dyDescent="0.3">
      <c r="G27" s="181">
        <f t="shared" si="12"/>
        <v>0.79255745308876235</v>
      </c>
      <c r="H27" s="17">
        <v>20</v>
      </c>
      <c r="I27" s="17">
        <v>285</v>
      </c>
      <c r="J27" s="40">
        <v>37591</v>
      </c>
      <c r="K27" s="41">
        <v>65</v>
      </c>
      <c r="L27" s="41">
        <v>16</v>
      </c>
      <c r="M27" s="41">
        <v>18</v>
      </c>
      <c r="N27" s="41">
        <v>9</v>
      </c>
      <c r="O27" s="41">
        <v>47430</v>
      </c>
      <c r="P27" s="41">
        <v>2</v>
      </c>
      <c r="Q27" s="41">
        <v>0</v>
      </c>
      <c r="R27" s="41">
        <v>13</v>
      </c>
      <c r="S27" s="41"/>
      <c r="T27" s="42"/>
      <c r="U27" s="32">
        <f t="shared" si="8"/>
        <v>5.6189435277725378E-6</v>
      </c>
      <c r="V27" s="163">
        <f t="shared" si="4"/>
        <v>1.0216745670131046E-8</v>
      </c>
      <c r="W27" s="163">
        <f t="shared" si="13"/>
        <v>2.3672080527044789E-9</v>
      </c>
      <c r="X27" s="163">
        <f t="shared" si="6"/>
        <v>2.8003827221426698E-9</v>
      </c>
      <c r="Y27" s="163">
        <f t="shared" si="7"/>
        <v>1.8430361974258571E-9</v>
      </c>
      <c r="Z27" s="163">
        <f t="shared" si="14"/>
        <v>2.5445464844330334E-10</v>
      </c>
      <c r="AA27" s="163">
        <f t="shared" si="15"/>
        <v>0</v>
      </c>
      <c r="AB27" s="163">
        <f t="shared" si="16"/>
        <v>1.3047291922730605E-9</v>
      </c>
      <c r="AC27" s="163">
        <f t="shared" si="2"/>
        <v>0</v>
      </c>
      <c r="AD27" s="33">
        <f t="shared" si="3"/>
        <v>0</v>
      </c>
      <c r="AE27" s="37">
        <f>((Branco2!$P$10-U27)/(Branco2!$P$10))*100</f>
        <v>0.2988215116124891</v>
      </c>
      <c r="AF27" s="38"/>
      <c r="AG27" s="39">
        <f t="shared" si="17"/>
        <v>54.383280295730188</v>
      </c>
      <c r="AH27" s="39">
        <f t="shared" si="18"/>
        <v>14.417186301493892</v>
      </c>
      <c r="AI27" s="39">
        <f t="shared" si="19"/>
        <v>14.906311993146767</v>
      </c>
      <c r="AJ27" s="39">
        <f t="shared" si="20"/>
        <v>9.810399255881789</v>
      </c>
      <c r="AK27" s="39">
        <f t="shared" si="21"/>
        <v>1.354450714115325</v>
      </c>
      <c r="AL27" s="39">
        <f t="shared" si="22"/>
        <v>0</v>
      </c>
      <c r="AM27" s="39">
        <f t="shared" si="23"/>
        <v>6.9450151412545997</v>
      </c>
      <c r="AN27" s="38">
        <f t="shared" si="46"/>
        <v>0</v>
      </c>
      <c r="AO27" s="38">
        <f t="shared" si="25"/>
        <v>69.051289904878118</v>
      </c>
      <c r="AP27" s="38">
        <f t="shared" si="26"/>
        <v>10.666068876206866</v>
      </c>
      <c r="AQ27" s="38">
        <f t="shared" si="27"/>
        <v>12.617849521079775</v>
      </c>
      <c r="AR27" s="38">
        <f t="shared" si="28"/>
        <v>0.57325565513064269</v>
      </c>
      <c r="AS27" s="38">
        <f t="shared" si="29"/>
        <v>2.9393976194198768</v>
      </c>
      <c r="AT27" s="38">
        <f t="shared" si="30"/>
        <v>4.1521384232847316</v>
      </c>
      <c r="AU27" s="38">
        <f>(((U27*3)+(V27*3)+(2*W27)+(2*X27)+(Y27)+(Z27)+(AB27)))/((Branco2!$P$10*3))*100</f>
        <v>99.963713005578427</v>
      </c>
      <c r="AV27" s="151">
        <f t="shared" si="39"/>
        <v>0.20634010828167887</v>
      </c>
      <c r="AW27" s="186">
        <f t="shared" si="31"/>
        <v>4.1445175331540273E-3</v>
      </c>
      <c r="AX27" s="23">
        <f t="shared" si="42"/>
        <v>0.10383982368051603</v>
      </c>
      <c r="AY27" s="23">
        <f t="shared" si="42"/>
        <v>0.10736275280945307</v>
      </c>
      <c r="AZ27" s="23">
        <f t="shared" si="42"/>
        <v>7.0659427412731235E-2</v>
      </c>
      <c r="BA27" s="23">
        <f t="shared" si="42"/>
        <v>9.7554349646651085E-3</v>
      </c>
      <c r="BB27" s="151">
        <f t="shared" si="43"/>
        <v>0</v>
      </c>
      <c r="BC27" s="39">
        <f t="shared" si="32"/>
        <v>0.17738535041899237</v>
      </c>
      <c r="BD27" s="23">
        <f t="shared" si="33"/>
        <v>3.1224634980731172</v>
      </c>
      <c r="BE27">
        <f t="shared" si="34"/>
        <v>3.0115252163051585</v>
      </c>
      <c r="BF27">
        <f t="shared" si="35"/>
        <v>1.1333772157002089</v>
      </c>
      <c r="BG27">
        <f t="shared" si="36"/>
        <v>0.2732497333602697</v>
      </c>
      <c r="BH27" s="14">
        <f t="shared" si="37"/>
        <v>0</v>
      </c>
      <c r="BI27" s="109">
        <f t="shared" si="44"/>
        <v>4.4387638598229642E-8</v>
      </c>
      <c r="BJ27" s="1">
        <f t="shared" si="45"/>
        <v>0.26262981765818572</v>
      </c>
    </row>
    <row r="28" spans="2:62" x14ac:dyDescent="0.25">
      <c r="B28" s="230" t="s">
        <v>25</v>
      </c>
      <c r="C28" s="231"/>
      <c r="D28" s="21">
        <f>(1*(0.25/1000))/(0.082057*373)</f>
        <v>8.1679964763916645E-6</v>
      </c>
      <c r="G28" s="181">
        <f t="shared" si="12"/>
        <v>0.79016566423973833</v>
      </c>
      <c r="H28" s="84">
        <v>21</v>
      </c>
      <c r="I28" s="84">
        <v>300</v>
      </c>
      <c r="J28" s="85">
        <v>37442</v>
      </c>
      <c r="K28" s="86">
        <v>63</v>
      </c>
      <c r="L28" s="86">
        <v>17</v>
      </c>
      <c r="M28" s="86">
        <v>18</v>
      </c>
      <c r="N28" s="86">
        <v>9</v>
      </c>
      <c r="O28" s="86">
        <v>47385</v>
      </c>
      <c r="P28" s="86">
        <v>2</v>
      </c>
      <c r="Q28" s="86">
        <v>0</v>
      </c>
      <c r="R28" s="86">
        <v>12</v>
      </c>
      <c r="S28" s="86"/>
      <c r="T28" s="87"/>
      <c r="U28" s="88">
        <f t="shared" si="8"/>
        <v>5.5966716386065645E-6</v>
      </c>
      <c r="V28" s="164">
        <f t="shared" si="4"/>
        <v>9.9023842648962448E-9</v>
      </c>
      <c r="W28" s="164">
        <f t="shared" si="13"/>
        <v>2.5151585559985088E-9</v>
      </c>
      <c r="X28" s="164">
        <f t="shared" si="6"/>
        <v>2.8003827221426698E-9</v>
      </c>
      <c r="Y28" s="164">
        <f t="shared" si="7"/>
        <v>1.8430361974258571E-9</v>
      </c>
      <c r="Z28" s="164">
        <f>P28*$D$14</f>
        <v>2.5445464844330334E-10</v>
      </c>
      <c r="AA28" s="164">
        <f t="shared" si="15"/>
        <v>0</v>
      </c>
      <c r="AB28" s="164">
        <f>R28*$D$15</f>
        <v>1.3047291922730605E-9</v>
      </c>
      <c r="AC28" s="164">
        <f t="shared" si="2"/>
        <v>0</v>
      </c>
      <c r="AD28" s="89">
        <f t="shared" si="3"/>
        <v>0</v>
      </c>
      <c r="AE28" s="37">
        <f>((Branco2!$P$10-U28)/(Branco2!$P$10))*100</f>
        <v>0.69400854028343828</v>
      </c>
      <c r="AF28" s="91"/>
      <c r="AG28" s="92">
        <f t="shared" si="17"/>
        <v>53.18102493734046</v>
      </c>
      <c r="AH28" s="92">
        <f t="shared" si="18"/>
        <v>15.61726533567462</v>
      </c>
      <c r="AI28" s="92">
        <f t="shared" si="19"/>
        <v>15.03953183359191</v>
      </c>
      <c r="AJ28" s="92">
        <f t="shared" si="20"/>
        <v>9.8980761959708321</v>
      </c>
      <c r="AK28" s="92">
        <f t="shared" si="21"/>
        <v>1.3665556337029607</v>
      </c>
      <c r="AL28" s="92">
        <f t="shared" si="22"/>
        <v>0</v>
      </c>
      <c r="AM28" s="92">
        <f t="shared" si="23"/>
        <v>7.0070837340381411</v>
      </c>
      <c r="AN28" s="91">
        <f t="shared" si="46"/>
        <v>0</v>
      </c>
      <c r="AO28" s="38">
        <f t="shared" si="25"/>
        <v>67.916880449494883</v>
      </c>
      <c r="AP28" s="38">
        <f t="shared" si="26"/>
        <v>11.50037663587981</v>
      </c>
      <c r="AQ28" s="38">
        <f t="shared" si="27"/>
        <v>12.804543058505354</v>
      </c>
      <c r="AR28" s="38">
        <f t="shared" si="28"/>
        <v>0.5817375383490756</v>
      </c>
      <c r="AS28" s="38">
        <f t="shared" si="29"/>
        <v>2.9828889083715358</v>
      </c>
      <c r="AT28" s="38">
        <f t="shared" si="30"/>
        <v>4.213573409399336</v>
      </c>
      <c r="AU28" s="38">
        <f>(((U28*3)+(V28*3)+(2*W28)+(2*X28)+(Y28)+(Z28)+(AB28)))/((Branco2!$P$10*3))*100</f>
        <v>99.564698155993682</v>
      </c>
      <c r="AV28" s="101">
        <f t="shared" si="39"/>
        <v>0.47134895061358734</v>
      </c>
      <c r="AW28" s="186">
        <f t="shared" si="31"/>
        <v>9.4674467621437153E-3</v>
      </c>
      <c r="AX28" s="93">
        <f t="shared" si="42"/>
        <v>0.2612410237170219</v>
      </c>
      <c r="AY28" s="93">
        <f t="shared" si="42"/>
        <v>0.25157686752349534</v>
      </c>
      <c r="AZ28" s="93">
        <f t="shared" si="42"/>
        <v>0.16557210898874747</v>
      </c>
      <c r="BA28" s="93">
        <f t="shared" si="42"/>
        <v>2.2859340930791949E-2</v>
      </c>
      <c r="BB28" s="101">
        <f t="shared" si="43"/>
        <v>0</v>
      </c>
      <c r="BC28" s="92">
        <f t="shared" si="32"/>
        <v>0.405206721419751</v>
      </c>
      <c r="BD28" s="93">
        <f t="shared" si="33"/>
        <v>7.8555175831708484</v>
      </c>
      <c r="BE28" s="99">
        <f t="shared" si="34"/>
        <v>7.0567311340340444</v>
      </c>
      <c r="BF28" s="99">
        <f t="shared" si="35"/>
        <v>2.6557766281795092</v>
      </c>
      <c r="BG28" s="99">
        <f t="shared" si="36"/>
        <v>0.6402901394714825</v>
      </c>
      <c r="BH28" s="100">
        <f t="shared" si="37"/>
        <v>0</v>
      </c>
      <c r="BI28" s="109">
        <f t="shared" si="44"/>
        <v>4.3740455389113307E-8</v>
      </c>
      <c r="BJ28" s="1">
        <f t="shared" si="45"/>
        <v>0.25983777490270354</v>
      </c>
    </row>
    <row r="29" spans="2:62" x14ac:dyDescent="0.25">
      <c r="B29" s="220" t="s">
        <v>28</v>
      </c>
      <c r="C29" s="221"/>
      <c r="D29" s="22">
        <v>1</v>
      </c>
      <c r="H29" s="17"/>
      <c r="I29" s="17"/>
      <c r="J29" s="40"/>
      <c r="K29" s="41"/>
      <c r="L29" s="41"/>
      <c r="M29" s="41"/>
      <c r="N29" s="41"/>
      <c r="O29" s="41"/>
      <c r="P29" s="41"/>
      <c r="Q29" s="41"/>
      <c r="R29" s="41"/>
      <c r="S29" s="41"/>
      <c r="T29" s="42"/>
      <c r="U29" s="32">
        <f t="shared" si="8"/>
        <v>0</v>
      </c>
      <c r="V29" s="163">
        <f t="shared" si="4"/>
        <v>0</v>
      </c>
      <c r="W29" s="163">
        <f t="shared" si="13"/>
        <v>0</v>
      </c>
      <c r="X29" s="163">
        <f t="shared" si="6"/>
        <v>0</v>
      </c>
      <c r="Y29" s="163">
        <f t="shared" si="7"/>
        <v>0</v>
      </c>
      <c r="Z29" s="163">
        <f t="shared" si="14"/>
        <v>0</v>
      </c>
      <c r="AA29" s="163">
        <f t="shared" si="15"/>
        <v>0</v>
      </c>
      <c r="AB29" s="163">
        <f t="shared" si="16"/>
        <v>0</v>
      </c>
      <c r="AC29" s="163">
        <f t="shared" si="2"/>
        <v>0</v>
      </c>
      <c r="AD29" s="33">
        <f t="shared" si="3"/>
        <v>0</v>
      </c>
      <c r="AE29" s="37">
        <f>((Branco!$P$10-U29)/(Branco!$P$10))*100</f>
        <v>100</v>
      </c>
      <c r="AF29" s="38"/>
      <c r="AG29" s="39" t="e">
        <f t="shared" si="17"/>
        <v>#DIV/0!</v>
      </c>
      <c r="AH29" s="39" t="e">
        <f t="shared" si="18"/>
        <v>#DIV/0!</v>
      </c>
      <c r="AI29" s="39" t="e">
        <f t="shared" si="19"/>
        <v>#DIV/0!</v>
      </c>
      <c r="AJ29" s="39" t="e">
        <f t="shared" si="20"/>
        <v>#DIV/0!</v>
      </c>
      <c r="AK29" s="39" t="e">
        <f t="shared" si="21"/>
        <v>#DIV/0!</v>
      </c>
      <c r="AL29" s="39" t="e">
        <f t="shared" si="22"/>
        <v>#DIV/0!</v>
      </c>
      <c r="AM29" s="39" t="e">
        <f t="shared" si="23"/>
        <v>#DIV/0!</v>
      </c>
      <c r="AN29" s="38" t="e">
        <f t="shared" si="46"/>
        <v>#DIV/0!</v>
      </c>
      <c r="AO29" s="38" t="e">
        <f>(V29/(SUM(V29+(W29*2/3)+(X29*2/3)+(Y29*1/3)+(Z29*1/3)+(AB29*1/3)))*100)</f>
        <v>#DIV/0!</v>
      </c>
      <c r="AP29" s="38" t="e">
        <f t="shared" si="26"/>
        <v>#DIV/0!</v>
      </c>
      <c r="AQ29" s="38" t="e">
        <f t="shared" si="27"/>
        <v>#DIV/0!</v>
      </c>
      <c r="AR29" s="38" t="e">
        <f t="shared" si="28"/>
        <v>#DIV/0!</v>
      </c>
      <c r="AS29" s="38" t="e">
        <f t="shared" si="29"/>
        <v>#DIV/0!</v>
      </c>
      <c r="AT29" s="151">
        <f t="shared" ref="AT29:AT32" si="47">(Y29/(AVERAGE($U$5:$U$7)-V29))*100*1/3</f>
        <v>0</v>
      </c>
      <c r="AU29" s="38">
        <f>(((U29*3)+(V29*3)+(2*W29)+(2*X29)+(Y29)+(Z29)+(AB29)))/((Branco2!$P$10*3))*100</f>
        <v>0</v>
      </c>
      <c r="AV29" s="151" t="e">
        <f t="shared" si="39"/>
        <v>#DIV/0!</v>
      </c>
      <c r="AW29" s="186" t="e">
        <f t="shared" ref="AW29:AW32" si="48">(((AV29/100)*($C$23)*1000)/$C$5)</f>
        <v>#DIV/0!</v>
      </c>
      <c r="AX29" s="23" t="e">
        <f t="shared" si="42"/>
        <v>#DIV/0!</v>
      </c>
      <c r="AY29" s="23" t="e">
        <f t="shared" si="42"/>
        <v>#DIV/0!</v>
      </c>
      <c r="AZ29" s="23" t="e">
        <f t="shared" si="42"/>
        <v>#DIV/0!</v>
      </c>
      <c r="BA29" s="23" t="e">
        <f t="shared" si="42"/>
        <v>#DIV/0!</v>
      </c>
      <c r="BB29" s="151" t="e">
        <f t="shared" si="43"/>
        <v>#DIV/0!</v>
      </c>
      <c r="BC29" s="39" t="e">
        <f t="shared" si="32"/>
        <v>#DIV/0!</v>
      </c>
      <c r="BD29" s="23" t="e">
        <f t="shared" si="33"/>
        <v>#DIV/0!</v>
      </c>
      <c r="BE29" t="e">
        <f t="shared" si="34"/>
        <v>#DIV/0!</v>
      </c>
      <c r="BF29" t="e">
        <f t="shared" si="35"/>
        <v>#DIV/0!</v>
      </c>
      <c r="BG29" t="e">
        <f t="shared" si="36"/>
        <v>#DIV/0!</v>
      </c>
      <c r="BH29" s="14" t="e">
        <f t="shared" si="37"/>
        <v>#DIV/0!</v>
      </c>
      <c r="BI29" s="109">
        <f t="shared" si="44"/>
        <v>0</v>
      </c>
      <c r="BJ29" s="1" t="e">
        <f t="shared" si="45"/>
        <v>#DIV/0!</v>
      </c>
    </row>
    <row r="30" spans="2:62" x14ac:dyDescent="0.25">
      <c r="B30" s="220" t="s">
        <v>29</v>
      </c>
      <c r="C30" s="221"/>
      <c r="D30" s="22">
        <v>0</v>
      </c>
      <c r="H30" s="17"/>
      <c r="I30" s="17"/>
      <c r="J30" s="40"/>
      <c r="K30" s="41"/>
      <c r="L30" s="41"/>
      <c r="M30" s="41"/>
      <c r="N30" s="41"/>
      <c r="O30" s="41"/>
      <c r="P30" s="41"/>
      <c r="Q30" s="41"/>
      <c r="R30" s="41"/>
      <c r="S30" s="41"/>
      <c r="T30" s="42"/>
      <c r="U30" s="32">
        <f t="shared" si="8"/>
        <v>0</v>
      </c>
      <c r="V30" s="163">
        <f t="shared" si="4"/>
        <v>0</v>
      </c>
      <c r="W30" s="163">
        <f t="shared" si="13"/>
        <v>0</v>
      </c>
      <c r="X30" s="163">
        <f t="shared" si="6"/>
        <v>0</v>
      </c>
      <c r="Y30" s="163">
        <f t="shared" si="7"/>
        <v>0</v>
      </c>
      <c r="Z30" s="163">
        <f t="shared" si="14"/>
        <v>0</v>
      </c>
      <c r="AA30" s="163">
        <f t="shared" si="15"/>
        <v>0</v>
      </c>
      <c r="AB30" s="163">
        <f t="shared" si="16"/>
        <v>0</v>
      </c>
      <c r="AC30" s="163">
        <f t="shared" si="2"/>
        <v>0</v>
      </c>
      <c r="AD30" s="33">
        <f t="shared" si="3"/>
        <v>0</v>
      </c>
      <c r="AE30" s="37">
        <f>((Branco!$P$10-U30)/(Branco!$P$10))*100</f>
        <v>100</v>
      </c>
      <c r="AF30" s="38"/>
      <c r="AG30" s="39" t="e">
        <f t="shared" si="17"/>
        <v>#DIV/0!</v>
      </c>
      <c r="AH30" s="39" t="e">
        <f t="shared" si="18"/>
        <v>#DIV/0!</v>
      </c>
      <c r="AI30" s="39" t="e">
        <f t="shared" si="19"/>
        <v>#DIV/0!</v>
      </c>
      <c r="AJ30" s="39" t="e">
        <f t="shared" si="20"/>
        <v>#DIV/0!</v>
      </c>
      <c r="AK30" s="39" t="e">
        <f t="shared" si="21"/>
        <v>#DIV/0!</v>
      </c>
      <c r="AL30" s="39" t="e">
        <f t="shared" si="22"/>
        <v>#DIV/0!</v>
      </c>
      <c r="AM30" s="39" t="e">
        <f t="shared" si="23"/>
        <v>#DIV/0!</v>
      </c>
      <c r="AN30" s="38" t="e">
        <f t="shared" si="46"/>
        <v>#DIV/0!</v>
      </c>
      <c r="AO30" s="38" t="e">
        <f t="shared" si="25"/>
        <v>#DIV/0!</v>
      </c>
      <c r="AP30" s="38" t="e">
        <f t="shared" si="26"/>
        <v>#DIV/0!</v>
      </c>
      <c r="AQ30" s="38" t="e">
        <f t="shared" si="27"/>
        <v>#DIV/0!</v>
      </c>
      <c r="AR30" s="38" t="e">
        <f t="shared" si="28"/>
        <v>#DIV/0!</v>
      </c>
      <c r="AS30" s="38" t="e">
        <f t="shared" si="29"/>
        <v>#DIV/0!</v>
      </c>
      <c r="AT30" s="151">
        <f t="shared" si="47"/>
        <v>0</v>
      </c>
      <c r="AU30" s="38">
        <f>(((U30*3)+(V30*3)+(2*W30)+(2*X30)+(Y30)+(Z30)+(AB30)))/((Branco2!$P$10*3))*100</f>
        <v>0</v>
      </c>
      <c r="AV30" s="151" t="e">
        <f t="shared" si="39"/>
        <v>#DIV/0!</v>
      </c>
      <c r="AW30" s="186" t="e">
        <f t="shared" si="48"/>
        <v>#DIV/0!</v>
      </c>
      <c r="AX30" s="23" t="e">
        <f t="shared" si="42"/>
        <v>#DIV/0!</v>
      </c>
      <c r="AY30" s="23" t="e">
        <f t="shared" si="42"/>
        <v>#DIV/0!</v>
      </c>
      <c r="AZ30" s="23" t="e">
        <f t="shared" si="42"/>
        <v>#DIV/0!</v>
      </c>
      <c r="BA30" s="23" t="e">
        <f t="shared" si="42"/>
        <v>#DIV/0!</v>
      </c>
      <c r="BB30" s="151" t="e">
        <f t="shared" si="43"/>
        <v>#DIV/0!</v>
      </c>
      <c r="BC30" s="39" t="e">
        <f t="shared" si="32"/>
        <v>#DIV/0!</v>
      </c>
      <c r="BD30" s="23" t="e">
        <f t="shared" si="33"/>
        <v>#DIV/0!</v>
      </c>
      <c r="BE30" t="e">
        <f t="shared" si="34"/>
        <v>#DIV/0!</v>
      </c>
      <c r="BF30" t="e">
        <f t="shared" si="35"/>
        <v>#DIV/0!</v>
      </c>
      <c r="BG30" t="e">
        <f t="shared" si="36"/>
        <v>#DIV/0!</v>
      </c>
      <c r="BH30" s="14" t="e">
        <f t="shared" si="37"/>
        <v>#DIV/0!</v>
      </c>
      <c r="BI30" s="109">
        <f t="shared" si="44"/>
        <v>0</v>
      </c>
      <c r="BJ30" s="1" t="e">
        <f t="shared" si="45"/>
        <v>#DIV/0!</v>
      </c>
    </row>
    <row r="31" spans="2:62" x14ac:dyDescent="0.25">
      <c r="B31" s="220" t="s">
        <v>26</v>
      </c>
      <c r="C31" s="221"/>
      <c r="D31" s="26">
        <f>D28*D29</f>
        <v>8.1679964763916645E-6</v>
      </c>
      <c r="H31" s="17"/>
      <c r="I31" s="17"/>
      <c r="J31" s="40"/>
      <c r="K31" s="41"/>
      <c r="L31" s="41"/>
      <c r="M31" s="41"/>
      <c r="N31" s="41"/>
      <c r="O31" s="41"/>
      <c r="P31" s="41"/>
      <c r="Q31" s="41"/>
      <c r="R31" s="41"/>
      <c r="S31" s="41"/>
      <c r="T31" s="42"/>
      <c r="U31" s="32">
        <f t="shared" si="8"/>
        <v>0</v>
      </c>
      <c r="V31" s="163">
        <f t="shared" si="4"/>
        <v>0</v>
      </c>
      <c r="W31" s="163">
        <f t="shared" si="13"/>
        <v>0</v>
      </c>
      <c r="X31" s="163">
        <f t="shared" si="6"/>
        <v>0</v>
      </c>
      <c r="Y31" s="163">
        <f t="shared" si="7"/>
        <v>0</v>
      </c>
      <c r="Z31" s="163">
        <f t="shared" si="14"/>
        <v>0</v>
      </c>
      <c r="AA31" s="163">
        <f t="shared" si="15"/>
        <v>0</v>
      </c>
      <c r="AB31" s="163">
        <f t="shared" si="16"/>
        <v>0</v>
      </c>
      <c r="AC31" s="163">
        <f t="shared" si="2"/>
        <v>0</v>
      </c>
      <c r="AD31" s="33">
        <f t="shared" si="3"/>
        <v>0</v>
      </c>
      <c r="AE31" s="37">
        <f>((Branco!$P$10-U31)/(Branco!$P$10))*100</f>
        <v>100</v>
      </c>
      <c r="AF31" s="38"/>
      <c r="AG31" s="39" t="e">
        <f t="shared" si="17"/>
        <v>#DIV/0!</v>
      </c>
      <c r="AH31" s="39" t="e">
        <f t="shared" si="18"/>
        <v>#DIV/0!</v>
      </c>
      <c r="AI31" s="39" t="e">
        <f t="shared" si="19"/>
        <v>#DIV/0!</v>
      </c>
      <c r="AJ31" s="39" t="e">
        <f t="shared" si="20"/>
        <v>#DIV/0!</v>
      </c>
      <c r="AK31" s="39" t="e">
        <f t="shared" si="21"/>
        <v>#DIV/0!</v>
      </c>
      <c r="AL31" s="39" t="e">
        <f t="shared" si="22"/>
        <v>#DIV/0!</v>
      </c>
      <c r="AM31" s="39" t="e">
        <f t="shared" si="23"/>
        <v>#DIV/0!</v>
      </c>
      <c r="AN31" s="38" t="e">
        <f t="shared" si="46"/>
        <v>#DIV/0!</v>
      </c>
      <c r="AO31" s="38" t="e">
        <f t="shared" si="25"/>
        <v>#DIV/0!</v>
      </c>
      <c r="AP31" s="38" t="e">
        <f t="shared" si="26"/>
        <v>#DIV/0!</v>
      </c>
      <c r="AQ31" s="38" t="e">
        <f t="shared" si="27"/>
        <v>#DIV/0!</v>
      </c>
      <c r="AR31" s="38" t="e">
        <f t="shared" si="28"/>
        <v>#DIV/0!</v>
      </c>
      <c r="AS31" s="38" t="e">
        <f t="shared" si="29"/>
        <v>#DIV/0!</v>
      </c>
      <c r="AT31" s="151">
        <f t="shared" si="47"/>
        <v>0</v>
      </c>
      <c r="AU31" s="38">
        <f>(((U31*3)+(V31*3)+(2*W31)+(2*X31)+(Y31)+(Z31)+(AB31)))/((Branco2!$P$10*3))*100</f>
        <v>0</v>
      </c>
      <c r="AV31" s="151" t="e">
        <f t="shared" si="39"/>
        <v>#DIV/0!</v>
      </c>
      <c r="AW31" s="186" t="e">
        <f t="shared" si="48"/>
        <v>#DIV/0!</v>
      </c>
      <c r="AX31" s="23" t="e">
        <f t="shared" si="42"/>
        <v>#DIV/0!</v>
      </c>
      <c r="AY31" s="23" t="e">
        <f t="shared" si="42"/>
        <v>#DIV/0!</v>
      </c>
      <c r="AZ31" s="23" t="e">
        <f t="shared" si="42"/>
        <v>#DIV/0!</v>
      </c>
      <c r="BA31" s="23" t="e">
        <f t="shared" si="42"/>
        <v>#DIV/0!</v>
      </c>
      <c r="BB31" s="151" t="e">
        <f t="shared" si="43"/>
        <v>#DIV/0!</v>
      </c>
      <c r="BC31" s="39" t="e">
        <f t="shared" si="32"/>
        <v>#DIV/0!</v>
      </c>
      <c r="BD31" s="23" t="e">
        <f t="shared" si="33"/>
        <v>#DIV/0!</v>
      </c>
      <c r="BE31" t="e">
        <f t="shared" si="34"/>
        <v>#DIV/0!</v>
      </c>
      <c r="BF31" t="e">
        <f t="shared" si="35"/>
        <v>#DIV/0!</v>
      </c>
      <c r="BG31" t="e">
        <f t="shared" si="36"/>
        <v>#DIV/0!</v>
      </c>
      <c r="BH31" s="14" t="e">
        <f t="shared" si="37"/>
        <v>#DIV/0!</v>
      </c>
      <c r="BI31" s="109">
        <f t="shared" si="44"/>
        <v>0</v>
      </c>
      <c r="BJ31" s="1" t="e">
        <f t="shared" si="45"/>
        <v>#DIV/0!</v>
      </c>
    </row>
    <row r="32" spans="2:62" ht="15.75" thickBot="1" x14ac:dyDescent="0.3">
      <c r="B32" s="222" t="s">
        <v>27</v>
      </c>
      <c r="C32" s="223"/>
      <c r="D32" s="27">
        <f>D28*D30</f>
        <v>0</v>
      </c>
      <c r="H32" s="18"/>
      <c r="I32" s="18"/>
      <c r="J32" s="43"/>
      <c r="K32" s="44"/>
      <c r="L32" s="44"/>
      <c r="M32" s="44"/>
      <c r="N32" s="44"/>
      <c r="O32" s="44"/>
      <c r="P32" s="44"/>
      <c r="Q32" s="44"/>
      <c r="R32" s="44"/>
      <c r="S32" s="44"/>
      <c r="T32" s="45"/>
      <c r="U32" s="34">
        <f t="shared" si="8"/>
        <v>0</v>
      </c>
      <c r="V32" s="35">
        <f t="shared" si="4"/>
        <v>0</v>
      </c>
      <c r="W32" s="35">
        <f t="shared" si="13"/>
        <v>0</v>
      </c>
      <c r="X32" s="35">
        <f t="shared" si="6"/>
        <v>0</v>
      </c>
      <c r="Y32" s="35">
        <f t="shared" si="7"/>
        <v>0</v>
      </c>
      <c r="Z32" s="35">
        <f t="shared" si="14"/>
        <v>0</v>
      </c>
      <c r="AA32" s="35">
        <f t="shared" si="15"/>
        <v>0</v>
      </c>
      <c r="AB32" s="35">
        <f t="shared" si="16"/>
        <v>0</v>
      </c>
      <c r="AC32" s="35">
        <f t="shared" si="2"/>
        <v>0</v>
      </c>
      <c r="AD32" s="36">
        <f t="shared" si="3"/>
        <v>0</v>
      </c>
      <c r="AE32" s="37">
        <f>((Branco!$P$10-U32)/(Branco!$P$10))*100</f>
        <v>100</v>
      </c>
      <c r="AF32" s="97"/>
      <c r="AG32" s="102" t="e">
        <f t="shared" si="17"/>
        <v>#DIV/0!</v>
      </c>
      <c r="AH32" s="102" t="e">
        <f t="shared" si="18"/>
        <v>#DIV/0!</v>
      </c>
      <c r="AI32" s="102" t="e">
        <f t="shared" si="19"/>
        <v>#DIV/0!</v>
      </c>
      <c r="AJ32" s="102" t="e">
        <f t="shared" si="20"/>
        <v>#DIV/0!</v>
      </c>
      <c r="AK32" s="102" t="e">
        <f t="shared" si="21"/>
        <v>#DIV/0!</v>
      </c>
      <c r="AL32" s="102" t="e">
        <f t="shared" si="22"/>
        <v>#DIV/0!</v>
      </c>
      <c r="AM32" s="102" t="e">
        <f t="shared" si="23"/>
        <v>#DIV/0!</v>
      </c>
      <c r="AN32" s="97" t="e">
        <f t="shared" si="46"/>
        <v>#DIV/0!</v>
      </c>
      <c r="AO32" s="38" t="e">
        <f t="shared" si="25"/>
        <v>#DIV/0!</v>
      </c>
      <c r="AP32" s="38" t="e">
        <f t="shared" si="26"/>
        <v>#DIV/0!</v>
      </c>
      <c r="AQ32" s="38" t="e">
        <f t="shared" si="27"/>
        <v>#DIV/0!</v>
      </c>
      <c r="AR32" s="38" t="e">
        <f t="shared" si="28"/>
        <v>#DIV/0!</v>
      </c>
      <c r="AS32" s="38" t="e">
        <f t="shared" si="29"/>
        <v>#DIV/0!</v>
      </c>
      <c r="AT32" s="151">
        <f t="shared" si="47"/>
        <v>0</v>
      </c>
      <c r="AU32" s="38">
        <f>(((U32*3)+(V32*3)+(2*W32)+(2*X32)+(Y32)+(Z32)+(AB32)))/((Branco2!$P$10*3))*100</f>
        <v>0</v>
      </c>
      <c r="AV32" s="15" t="e">
        <f>AG32*AE32/100</f>
        <v>#DIV/0!</v>
      </c>
      <c r="AW32" s="186" t="e">
        <f t="shared" si="48"/>
        <v>#DIV/0!</v>
      </c>
      <c r="AX32" s="152" t="e">
        <f t="shared" si="42"/>
        <v>#DIV/0!</v>
      </c>
      <c r="AY32" s="152" t="e">
        <f t="shared" si="42"/>
        <v>#DIV/0!</v>
      </c>
      <c r="AZ32" s="152" t="e">
        <f t="shared" si="42"/>
        <v>#DIV/0!</v>
      </c>
      <c r="BA32" s="152" t="e">
        <f t="shared" si="42"/>
        <v>#DIV/0!</v>
      </c>
      <c r="BB32" s="153" t="e">
        <f t="shared" si="43"/>
        <v>#DIV/0!</v>
      </c>
      <c r="BC32" s="102" t="e">
        <f t="shared" si="32"/>
        <v>#DIV/0!</v>
      </c>
      <c r="BD32" s="152" t="e">
        <f t="shared" si="33"/>
        <v>#DIV/0!</v>
      </c>
      <c r="BE32" s="98" t="e">
        <f t="shared" si="34"/>
        <v>#DIV/0!</v>
      </c>
      <c r="BF32" s="98" t="e">
        <f t="shared" si="35"/>
        <v>#DIV/0!</v>
      </c>
      <c r="BG32" s="98" t="e">
        <f t="shared" si="36"/>
        <v>#DIV/0!</v>
      </c>
      <c r="BH32" s="15" t="e">
        <f t="shared" si="37"/>
        <v>#DIV/0!</v>
      </c>
      <c r="BI32" s="109">
        <f t="shared" si="44"/>
        <v>0</v>
      </c>
      <c r="BJ32" s="1" t="e">
        <f t="shared" si="45"/>
        <v>#DIV/0!</v>
      </c>
    </row>
    <row r="33" spans="2:31" x14ac:dyDescent="0.25">
      <c r="AE33" s="95" t="s">
        <v>50</v>
      </c>
    </row>
    <row r="34" spans="2:31" ht="15.75" thickBot="1" x14ac:dyDescent="0.3">
      <c r="B34" s="28">
        <f>D28*0.24</f>
        <v>1.9603191543339994E-6</v>
      </c>
      <c r="C34" s="1">
        <v>1028</v>
      </c>
      <c r="AE34" s="96">
        <f>AVERAGE(AE12:AE28)</f>
        <v>1.8018739530716077</v>
      </c>
    </row>
    <row r="35" spans="2:31" ht="15.75" thickBot="1" x14ac:dyDescent="0.3">
      <c r="B35" s="28">
        <f>B34/C37</f>
        <v>1.9137512082661891E-9</v>
      </c>
      <c r="C35">
        <v>1009</v>
      </c>
    </row>
    <row r="36" spans="2:31" ht="15.75" customHeight="1" thickBot="1" x14ac:dyDescent="0.3">
      <c r="C36">
        <v>1036</v>
      </c>
      <c r="F36" s="243" t="s">
        <v>58</v>
      </c>
      <c r="G36" s="217" t="s">
        <v>73</v>
      </c>
      <c r="H36" s="226"/>
      <c r="I36" s="226"/>
      <c r="J36" s="226"/>
      <c r="K36" s="226"/>
      <c r="L36" s="226"/>
      <c r="M36" s="226"/>
      <c r="N36" s="218"/>
      <c r="O36" s="179"/>
      <c r="P36" s="235" t="s">
        <v>34</v>
      </c>
      <c r="Q36" s="224" t="s">
        <v>74</v>
      </c>
      <c r="R36" s="224" t="s">
        <v>75</v>
      </c>
      <c r="S36" s="224" t="s">
        <v>80</v>
      </c>
      <c r="T36" s="224" t="s">
        <v>81</v>
      </c>
      <c r="U36" s="224" t="s">
        <v>82</v>
      </c>
      <c r="V36" s="227" t="s">
        <v>36</v>
      </c>
      <c r="W36" s="237" t="s">
        <v>49</v>
      </c>
      <c r="X36" s="237" t="s">
        <v>59</v>
      </c>
    </row>
    <row r="37" spans="2:31" ht="15.75" thickBot="1" x14ac:dyDescent="0.3">
      <c r="C37" s="1">
        <f>AVERAGE(C34:C36)</f>
        <v>1024.3333333333333</v>
      </c>
      <c r="F37" s="244"/>
      <c r="G37" s="123" t="s">
        <v>68</v>
      </c>
      <c r="H37" s="167" t="s">
        <v>37</v>
      </c>
      <c r="I37" s="167" t="s">
        <v>38</v>
      </c>
      <c r="J37" s="167" t="s">
        <v>39</v>
      </c>
      <c r="K37" s="167" t="s">
        <v>10</v>
      </c>
      <c r="L37" s="167" t="s">
        <v>8</v>
      </c>
      <c r="M37" s="167" t="s">
        <v>11</v>
      </c>
      <c r="N37" s="168" t="s">
        <v>35</v>
      </c>
      <c r="O37" s="168"/>
      <c r="P37" s="236"/>
      <c r="Q37" s="225"/>
      <c r="R37" s="229"/>
      <c r="S37" s="229"/>
      <c r="T37" s="229"/>
      <c r="U37" s="229"/>
      <c r="V37" s="228"/>
      <c r="W37" s="238"/>
      <c r="X37" s="238"/>
    </row>
    <row r="38" spans="2:31" x14ac:dyDescent="0.25">
      <c r="F38" s="95">
        <v>1</v>
      </c>
      <c r="G38" s="23">
        <f>AVERAGE(AL9:AL12)</f>
        <v>7.5493723111446069</v>
      </c>
      <c r="H38" s="148">
        <f t="shared" ref="H38:J38" si="49">AVERAGE(AG9:AG12)</f>
        <v>49.979493238808949</v>
      </c>
      <c r="I38" s="148">
        <f t="shared" si="49"/>
        <v>2.866537956860598</v>
      </c>
      <c r="J38" s="148">
        <f t="shared" si="49"/>
        <v>4.1681359148178032</v>
      </c>
      <c r="K38" s="148">
        <f>AVERAGE(AJ9:AJ12)</f>
        <v>2.7148184801861599</v>
      </c>
      <c r="L38" s="148">
        <f>AVERAGE(AK9:AK12)</f>
        <v>0.82222208552406184</v>
      </c>
      <c r="M38" s="148">
        <f>AVERAGE(AN9:AN12)</f>
        <v>31.920476053275223</v>
      </c>
      <c r="N38" s="37">
        <f>AVERAGE(AM9:AM12)</f>
        <v>1.6436380930703915</v>
      </c>
      <c r="O38" s="37"/>
      <c r="P38" s="132">
        <f>AVERAGE(AE9:AE12)</f>
        <v>9.3609374861861383</v>
      </c>
      <c r="Q38" s="169">
        <f>AVERAGE(AO10:AO12)</f>
        <v>87.820691119546112</v>
      </c>
      <c r="R38" s="129">
        <f>AVERAGE(AQ10:AQ12)</f>
        <v>5.2634133079349761</v>
      </c>
      <c r="S38" s="129">
        <f>AVERAGE(AR10:AR12)</f>
        <v>0.54361566811709472</v>
      </c>
      <c r="T38" s="129">
        <f t="shared" ref="T38:U42" si="50">AVERAGE(AS10:AS12)</f>
        <v>1.1181809808707863</v>
      </c>
      <c r="U38" s="129">
        <f t="shared" si="50"/>
        <v>1.7004806188307688</v>
      </c>
      <c r="V38" s="132">
        <f>AVERAGE(AU9:AU12)</f>
        <v>92.074048809092361</v>
      </c>
      <c r="W38" s="129">
        <f>AVERAGE(AV9:AV12)</f>
        <v>8.4556043259192553</v>
      </c>
      <c r="X38" s="132">
        <f>AVERAGE(BC9:BC12)</f>
        <v>7.2690682817224834</v>
      </c>
    </row>
    <row r="39" spans="2:31" x14ac:dyDescent="0.25">
      <c r="F39" s="115">
        <v>2</v>
      </c>
      <c r="G39" s="23">
        <f>AVERAGE(AL13:AL16)</f>
        <v>0</v>
      </c>
      <c r="H39" s="148">
        <f t="shared" ref="H39:J39" si="51">AVERAGE(AG13:AG16)</f>
        <v>50.970819137288629</v>
      </c>
      <c r="I39" s="148">
        <f t="shared" si="51"/>
        <v>8.1529245907480217</v>
      </c>
      <c r="J39" s="148">
        <f t="shared" si="51"/>
        <v>8.2913295958879392</v>
      </c>
      <c r="K39" s="148">
        <f>AVERAGE(AJ13:AJ16)</f>
        <v>5.5918535559074112</v>
      </c>
      <c r="L39" s="148">
        <f>AVERAGE(AK13:AK16)</f>
        <v>1.7342119750996225</v>
      </c>
      <c r="M39" s="148">
        <f>AVERAGE(AN13:AN16)</f>
        <v>22.001067361949637</v>
      </c>
      <c r="N39" s="37">
        <f>AVERAGE(AM13:AM16)</f>
        <v>3.8786895975223246</v>
      </c>
      <c r="O39" s="37"/>
      <c r="P39" s="133">
        <f>AVERAGE(AE13,AE14,AE16)</f>
        <v>0.22897861392791488</v>
      </c>
      <c r="Q39" s="170">
        <f>AVERAGE(AO13:AO14)</f>
        <v>79.965384169059362</v>
      </c>
      <c r="R39" s="130">
        <f>AVERAGE(AQ13:AQ14)</f>
        <v>7.6686228018019547</v>
      </c>
      <c r="S39" s="130">
        <f t="shared" ref="S39:S42" si="52">AVERAGE(AR11:AR13)</f>
        <v>0.70107205519900473</v>
      </c>
      <c r="T39" s="130">
        <f t="shared" si="50"/>
        <v>1.504769017897974</v>
      </c>
      <c r="U39" s="130">
        <f t="shared" si="50"/>
        <v>2.1755946501151264</v>
      </c>
      <c r="V39" s="133">
        <f>AVERAGE(AU13:AU16)</f>
        <v>100.31182304485259</v>
      </c>
      <c r="W39" s="130">
        <f>AVERAGE(AV13:AV16)</f>
        <v>4.972821717111911E-2</v>
      </c>
      <c r="X39" s="133">
        <f>AVERAGE(BC13:BC16)</f>
        <v>4.2750085293979376E-2</v>
      </c>
    </row>
    <row r="40" spans="2:31" x14ac:dyDescent="0.25">
      <c r="F40" s="115">
        <v>3</v>
      </c>
      <c r="G40" s="23">
        <f>AVERAGE(AL17:AL20)</f>
        <v>0</v>
      </c>
      <c r="H40" s="148">
        <f t="shared" ref="H40:J40" si="53">AVERAGE(AG18:AG21)</f>
        <v>57.812711445784416</v>
      </c>
      <c r="I40" s="148">
        <f t="shared" si="53"/>
        <v>13.3672570853093</v>
      </c>
      <c r="J40" s="148">
        <f t="shared" si="53"/>
        <v>13.354372539213617</v>
      </c>
      <c r="K40" s="148">
        <f>AVERAGE(AJ18:AJ21)</f>
        <v>8.7918110016580915</v>
      </c>
      <c r="L40" s="148">
        <f>AVERAGE(AK18:AK21)</f>
        <v>1.7129547570917267</v>
      </c>
      <c r="M40" s="148">
        <f>AVERAGE(AN18:AN21)</f>
        <v>0</v>
      </c>
      <c r="N40" s="37">
        <f>AVERAGE(AM18:AM21)</f>
        <v>6.5372063378362748</v>
      </c>
      <c r="O40" s="37"/>
      <c r="P40" s="133">
        <f>AVERAGE(AE18:AE21)</f>
        <v>3.2262556250055257</v>
      </c>
      <c r="Q40" s="170">
        <f>AVERAGE(AO17:AO20)</f>
        <v>72.808768879232247</v>
      </c>
      <c r="R40" s="130">
        <f>AVERAGE(AQ17:AQ20)</f>
        <v>10.790579809585285</v>
      </c>
      <c r="S40" s="130">
        <f t="shared" si="52"/>
        <v>0.74905117036021895</v>
      </c>
      <c r="T40" s="130">
        <f t="shared" si="50"/>
        <v>1.7148381595179572</v>
      </c>
      <c r="U40" s="130">
        <f t="shared" si="50"/>
        <v>2.4993107557691769</v>
      </c>
      <c r="V40" s="133">
        <f>AVERAGE(AU18:AU21)</f>
        <v>97.06410835966328</v>
      </c>
      <c r="W40" s="130">
        <f>AVERAGE(AV18:AV21)</f>
        <v>2.3350837633723045</v>
      </c>
      <c r="X40" s="133">
        <f>AVERAGE(BC18:BC21)</f>
        <v>2.0074122044079283</v>
      </c>
    </row>
    <row r="41" spans="2:31" x14ac:dyDescent="0.25">
      <c r="F41" s="115">
        <v>4</v>
      </c>
      <c r="G41" s="23">
        <f>AVERAGE(AL21:AL24)</f>
        <v>0</v>
      </c>
      <c r="H41" s="148">
        <f t="shared" ref="H41:J41" si="54">AVERAGE(AG22:AG25)</f>
        <v>55.436321945367808</v>
      </c>
      <c r="I41" s="148">
        <f t="shared" si="54"/>
        <v>14.120327162687014</v>
      </c>
      <c r="J41" s="148">
        <f t="shared" si="54"/>
        <v>14.237354896337198</v>
      </c>
      <c r="K41" s="148">
        <f>AVERAGE(AJ22:AJ25)</f>
        <v>9.5067298534780509</v>
      </c>
      <c r="L41" s="148">
        <f>AVERAGE(AK22:AK25)</f>
        <v>1.352323941028978</v>
      </c>
      <c r="M41" s="148">
        <f>AVERAGE(AN22:AN25)</f>
        <v>0</v>
      </c>
      <c r="N41" s="37">
        <f>AVERAGE(AM22:AM25)</f>
        <v>7.0947776205879904</v>
      </c>
      <c r="O41" s="37"/>
      <c r="P41" s="133">
        <f>AVERAGE(AE22:AE25)</f>
        <v>2.9643447586883722</v>
      </c>
      <c r="Q41" s="170">
        <f>AVERAGE(AO22,AO24)</f>
        <v>70.525641277728795</v>
      </c>
      <c r="R41" s="130">
        <f>AVERAGE(AQ22,AQ24)</f>
        <v>12.063336880137454</v>
      </c>
      <c r="S41" s="130">
        <f t="shared" si="52"/>
        <v>0.82930813536325843</v>
      </c>
      <c r="T41" s="130">
        <f t="shared" si="50"/>
        <v>1.9205990009160558</v>
      </c>
      <c r="U41" s="130">
        <f t="shared" si="50"/>
        <v>2.7899646944986558</v>
      </c>
      <c r="V41" s="133">
        <f>AVERAGE(AU22:AU25)</f>
        <v>97.300413400978144</v>
      </c>
      <c r="W41" s="130">
        <f>AVERAGE(AV22:AV25)</f>
        <v>2.068559270174132</v>
      </c>
      <c r="X41" s="133">
        <f>AVERAGE(BC22:BC25)</f>
        <v>1.7782878668522715</v>
      </c>
    </row>
    <row r="42" spans="2:31" ht="15.75" thickBot="1" x14ac:dyDescent="0.3">
      <c r="F42" s="116">
        <v>5</v>
      </c>
      <c r="G42" s="152">
        <f>AVERAGE(AL25:AL28)</f>
        <v>0</v>
      </c>
      <c r="H42" s="154">
        <f>AVERAGE(AG26:AG28)</f>
        <v>54.027848023473574</v>
      </c>
      <c r="I42" s="154">
        <f>AVERAGE(AH26:AH28)</f>
        <v>14.830964086217435</v>
      </c>
      <c r="J42" s="154">
        <f>AVERAGE(AI26:AI28)</f>
        <v>14.686407640979363</v>
      </c>
      <c r="K42" s="154">
        <f>AVERAGE(AJ26:AJ28)</f>
        <v>9.8478002557889379</v>
      </c>
      <c r="L42" s="154">
        <f>AVERAGE(AK26:AK28)</f>
        <v>1.3596143990695833</v>
      </c>
      <c r="M42" s="154">
        <f>AVERAGE(AN26:AN28)</f>
        <v>0</v>
      </c>
      <c r="N42" s="155">
        <f>AVERAGE(AM26:AM28)</f>
        <v>7.1648915804953139</v>
      </c>
      <c r="O42" s="155"/>
      <c r="P42" s="134">
        <f>AVERAGE(AE26:AE28)</f>
        <v>0.51719107779084361</v>
      </c>
      <c r="Q42" s="171">
        <f>AVERAGE(AO26,AO28)</f>
        <v>68.642257896940521</v>
      </c>
      <c r="R42" s="131">
        <f>AVERAGE(AQ26,AQ28)</f>
        <v>12.387997886285268</v>
      </c>
      <c r="S42" s="131">
        <f t="shared" si="52"/>
        <v>0.88535666477684105</v>
      </c>
      <c r="T42" s="131">
        <f t="shared" si="50"/>
        <v>2.0355556785908533</v>
      </c>
      <c r="U42" s="131">
        <f t="shared" si="50"/>
        <v>2.9523503599265566</v>
      </c>
      <c r="V42" s="134">
        <f>AVERAGE(AU26:AU28)</f>
        <v>99.7436684100159</v>
      </c>
      <c r="W42" s="131">
        <f>AVERAGE(AV23:AV26)</f>
        <v>1.9905527304176602</v>
      </c>
      <c r="X42" s="134">
        <f>AVERAGE(BC23:BC26)</f>
        <v>1.7112276258506272</v>
      </c>
    </row>
    <row r="43" spans="2:31" x14ac:dyDescent="0.25">
      <c r="P43" s="128"/>
    </row>
  </sheetData>
  <mergeCells count="38">
    <mergeCell ref="AP3:AP4"/>
    <mergeCell ref="AQ3:AQ4"/>
    <mergeCell ref="AR3:AR4"/>
    <mergeCell ref="H2:I2"/>
    <mergeCell ref="H3:H4"/>
    <mergeCell ref="I3:I4"/>
    <mergeCell ref="J3:T3"/>
    <mergeCell ref="U3:AD3"/>
    <mergeCell ref="AE3:AE4"/>
    <mergeCell ref="P36:P37"/>
    <mergeCell ref="BI3:BI4"/>
    <mergeCell ref="BJ3:BJ4"/>
    <mergeCell ref="B21:B23"/>
    <mergeCell ref="B24:B26"/>
    <mergeCell ref="B28:C28"/>
    <mergeCell ref="B29:C29"/>
    <mergeCell ref="AS3:AS4"/>
    <mergeCell ref="AT3:AT4"/>
    <mergeCell ref="AU3:AU4"/>
    <mergeCell ref="AV3:AV4"/>
    <mergeCell ref="AW3:BB3"/>
    <mergeCell ref="BC3:BH3"/>
    <mergeCell ref="AF3:AF4"/>
    <mergeCell ref="AG3:AN3"/>
    <mergeCell ref="AO3:AO4"/>
    <mergeCell ref="B30:C30"/>
    <mergeCell ref="B31:C31"/>
    <mergeCell ref="B32:C32"/>
    <mergeCell ref="F36:F37"/>
    <mergeCell ref="G36:N36"/>
    <mergeCell ref="W36:W37"/>
    <mergeCell ref="X36:X37"/>
    <mergeCell ref="Q36:Q37"/>
    <mergeCell ref="R36:R37"/>
    <mergeCell ref="S36:S37"/>
    <mergeCell ref="T36:T37"/>
    <mergeCell ref="U36:U37"/>
    <mergeCell ref="V36:V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9542B-1979-4C7B-BB0D-9220D811FB50}">
  <dimension ref="A1:X23"/>
  <sheetViews>
    <sheetView zoomScale="90" zoomScaleNormal="90" workbookViewId="0">
      <selection activeCell="M32" sqref="M32"/>
    </sheetView>
  </sheetViews>
  <sheetFormatPr defaultRowHeight="15" x14ac:dyDescent="0.25"/>
  <cols>
    <col min="1" max="1" width="20.7109375" bestFit="1" customWidth="1"/>
    <col min="3" max="3" width="12" bestFit="1" customWidth="1"/>
    <col min="4" max="4" width="13.28515625" bestFit="1" customWidth="1"/>
    <col min="5" max="5" width="13.42578125" bestFit="1" customWidth="1"/>
    <col min="6" max="6" width="11.5703125" bestFit="1" customWidth="1"/>
    <col min="7" max="7" width="10.85546875" bestFit="1" customWidth="1"/>
    <col min="10" max="10" width="10.85546875" bestFit="1" customWidth="1"/>
    <col min="11" max="11" width="10.28515625" bestFit="1" customWidth="1"/>
    <col min="12" max="12" width="9.7109375" bestFit="1" customWidth="1"/>
    <col min="13" max="13" width="9.5703125" bestFit="1" customWidth="1"/>
    <col min="16" max="16" width="13.28515625" bestFit="1" customWidth="1"/>
    <col min="17" max="17" width="13.42578125" bestFit="1" customWidth="1"/>
    <col min="18" max="18" width="11.28515625" bestFit="1" customWidth="1"/>
    <col min="19" max="19" width="10.85546875" bestFit="1" customWidth="1"/>
    <col min="21" max="21" width="11.28515625" bestFit="1" customWidth="1"/>
    <col min="22" max="22" width="10.28515625" bestFit="1" customWidth="1"/>
    <col min="23" max="23" width="11.28515625" bestFit="1" customWidth="1"/>
  </cols>
  <sheetData>
    <row r="1" spans="1:24" ht="15.75" thickBot="1" x14ac:dyDescent="0.3">
      <c r="C1" s="113" t="s">
        <v>55</v>
      </c>
      <c r="D1" s="110">
        <v>4.5999999999999996</v>
      </c>
      <c r="E1" s="110"/>
      <c r="F1" s="110">
        <v>3.1</v>
      </c>
      <c r="G1" s="110"/>
      <c r="H1" s="110"/>
      <c r="I1" s="110"/>
      <c r="J1" s="110">
        <v>2.5</v>
      </c>
      <c r="K1" s="110"/>
      <c r="L1" s="110">
        <v>6.6</v>
      </c>
      <c r="M1" s="110"/>
      <c r="O1" s="213" t="s">
        <v>57</v>
      </c>
      <c r="P1" s="213"/>
      <c r="Q1" s="213"/>
      <c r="R1" s="213"/>
      <c r="S1" s="213"/>
      <c r="T1" s="213"/>
      <c r="U1" s="213"/>
      <c r="V1" s="213"/>
      <c r="W1" s="213"/>
      <c r="X1" s="213"/>
    </row>
    <row r="2" spans="1:24" ht="15.75" thickBot="1" x14ac:dyDescent="0.3">
      <c r="A2" s="114" t="s">
        <v>61</v>
      </c>
      <c r="C2" s="117" t="s">
        <v>56</v>
      </c>
      <c r="D2" s="111" t="s">
        <v>40</v>
      </c>
      <c r="E2" s="111" t="s">
        <v>41</v>
      </c>
      <c r="F2" s="111" t="s">
        <v>42</v>
      </c>
      <c r="G2" s="111" t="s">
        <v>43</v>
      </c>
      <c r="H2" s="111" t="s">
        <v>44</v>
      </c>
      <c r="I2" s="111" t="s">
        <v>13</v>
      </c>
      <c r="J2" s="111" t="s">
        <v>45</v>
      </c>
      <c r="K2" s="111" t="s">
        <v>46</v>
      </c>
      <c r="L2" s="111" t="s">
        <v>47</v>
      </c>
      <c r="M2" s="112" t="s">
        <v>48</v>
      </c>
      <c r="O2" s="114" t="s">
        <v>56</v>
      </c>
      <c r="P2" s="124" t="s">
        <v>40</v>
      </c>
      <c r="Q2" s="124" t="s">
        <v>41</v>
      </c>
      <c r="R2" s="124" t="s">
        <v>42</v>
      </c>
      <c r="S2" s="124" t="s">
        <v>43</v>
      </c>
      <c r="T2" s="124" t="s">
        <v>44</v>
      </c>
      <c r="U2" s="124" t="s">
        <v>45</v>
      </c>
      <c r="V2" s="124" t="s">
        <v>46</v>
      </c>
      <c r="W2" s="124" t="s">
        <v>47</v>
      </c>
      <c r="X2" s="125" t="s">
        <v>48</v>
      </c>
    </row>
    <row r="3" spans="1:24" ht="15" customHeight="1" x14ac:dyDescent="0.25">
      <c r="A3" s="214" t="s">
        <v>71</v>
      </c>
      <c r="C3" s="115">
        <v>1</v>
      </c>
      <c r="D3" s="118">
        <v>37921</v>
      </c>
      <c r="E3" s="119"/>
      <c r="F3" s="119">
        <v>29</v>
      </c>
      <c r="G3" s="119"/>
      <c r="H3" s="119"/>
      <c r="I3" s="119"/>
      <c r="J3" s="119"/>
      <c r="K3" s="119"/>
      <c r="L3" s="119"/>
      <c r="M3" s="120"/>
      <c r="O3" s="95">
        <v>1</v>
      </c>
      <c r="P3" s="126">
        <f>D3*$C$14</f>
        <v>5.6682705306233519E-6</v>
      </c>
      <c r="Q3" s="119"/>
      <c r="R3" s="126">
        <f>F3*$C$16</f>
        <v>4.2905645955268682E-9</v>
      </c>
      <c r="S3" s="119"/>
      <c r="T3" s="119"/>
      <c r="U3" s="126"/>
      <c r="V3" s="119"/>
      <c r="W3" s="142">
        <f>L3*C21</f>
        <v>0</v>
      </c>
      <c r="X3" s="120"/>
    </row>
    <row r="4" spans="1:24" ht="14.25" customHeight="1" x14ac:dyDescent="0.25">
      <c r="A4" s="214"/>
      <c r="C4" s="115">
        <v>2</v>
      </c>
      <c r="D4" s="5">
        <v>37759</v>
      </c>
      <c r="E4" s="3"/>
      <c r="F4" s="3">
        <v>27</v>
      </c>
      <c r="G4" s="3"/>
      <c r="H4" s="3"/>
      <c r="I4" s="3"/>
      <c r="J4" s="3"/>
      <c r="K4" s="3"/>
      <c r="L4" s="3"/>
      <c r="M4" s="121"/>
      <c r="O4" s="115">
        <v>2</v>
      </c>
      <c r="P4" s="109">
        <f t="shared" ref="P4:P5" si="0">D4*$C$14</f>
        <v>5.6440554564965884E-6</v>
      </c>
      <c r="Q4" s="3"/>
      <c r="R4" s="109">
        <f t="shared" ref="R4:R9" si="1">F4*$C$16</f>
        <v>3.9946635889388083E-9</v>
      </c>
      <c r="S4" s="3"/>
      <c r="T4" s="3"/>
      <c r="U4" s="109"/>
      <c r="V4" s="3"/>
      <c r="W4" s="143">
        <f t="shared" ref="W4:W9" si="2">L4*C22</f>
        <v>0</v>
      </c>
      <c r="X4" s="121"/>
    </row>
    <row r="5" spans="1:24" ht="15.75" thickBot="1" x14ac:dyDescent="0.3">
      <c r="A5" s="215"/>
      <c r="C5" s="115">
        <v>3</v>
      </c>
      <c r="D5" s="5">
        <v>37390</v>
      </c>
      <c r="E5" s="3"/>
      <c r="F5" s="3">
        <v>23</v>
      </c>
      <c r="G5" s="3"/>
      <c r="H5" s="3"/>
      <c r="I5" s="3"/>
      <c r="J5" s="3"/>
      <c r="K5" s="3"/>
      <c r="L5" s="3"/>
      <c r="M5" s="121"/>
      <c r="O5" s="115">
        <v>3</v>
      </c>
      <c r="P5" s="109">
        <f t="shared" si="0"/>
        <v>5.5888988987634062E-6</v>
      </c>
      <c r="Q5" s="3"/>
      <c r="R5" s="109">
        <f t="shared" si="1"/>
        <v>3.4028615757626883E-9</v>
      </c>
      <c r="S5" s="3"/>
      <c r="T5" s="3"/>
      <c r="U5" s="109"/>
      <c r="V5" s="3"/>
      <c r="W5" s="143">
        <f t="shared" si="2"/>
        <v>0</v>
      </c>
      <c r="X5" s="121"/>
    </row>
    <row r="6" spans="1:24" x14ac:dyDescent="0.25">
      <c r="C6" s="115">
        <v>4</v>
      </c>
      <c r="D6" s="5"/>
      <c r="E6" s="3"/>
      <c r="F6" s="3"/>
      <c r="G6" s="3"/>
      <c r="H6" s="3"/>
      <c r="I6" s="3"/>
      <c r="J6" s="3"/>
      <c r="K6" s="3"/>
      <c r="L6" s="3"/>
      <c r="M6" s="121"/>
      <c r="O6" s="115">
        <v>4</v>
      </c>
      <c r="P6" s="109">
        <f>D6*$C$14</f>
        <v>0</v>
      </c>
      <c r="Q6" s="3"/>
      <c r="R6" s="109">
        <f t="shared" si="1"/>
        <v>0</v>
      </c>
      <c r="S6" s="3"/>
      <c r="T6" s="3"/>
      <c r="U6" s="109"/>
      <c r="V6" s="3"/>
      <c r="W6" s="143">
        <f t="shared" si="2"/>
        <v>0</v>
      </c>
      <c r="X6" s="121"/>
    </row>
    <row r="7" spans="1:24" x14ac:dyDescent="0.25">
      <c r="A7">
        <v>0</v>
      </c>
      <c r="B7" t="s">
        <v>12</v>
      </c>
      <c r="C7" s="115">
        <v>5</v>
      </c>
      <c r="D7" s="5"/>
      <c r="E7" s="3"/>
      <c r="F7" s="3"/>
      <c r="G7" s="3"/>
      <c r="H7" s="3"/>
      <c r="I7" s="3"/>
      <c r="J7" s="3"/>
      <c r="K7" s="3"/>
      <c r="L7" s="3"/>
      <c r="M7" s="121"/>
      <c r="O7" s="115">
        <v>5</v>
      </c>
      <c r="P7" s="109">
        <f t="shared" ref="P7:P9" si="3">D7*$C$14</f>
        <v>0</v>
      </c>
      <c r="Q7" s="3"/>
      <c r="R7" s="109">
        <f t="shared" si="1"/>
        <v>0</v>
      </c>
      <c r="S7" s="3"/>
      <c r="T7" s="3"/>
      <c r="U7" s="109"/>
      <c r="V7" s="3"/>
      <c r="W7" s="143">
        <f t="shared" si="2"/>
        <v>0</v>
      </c>
      <c r="X7" s="121"/>
    </row>
    <row r="8" spans="1:24" x14ac:dyDescent="0.25">
      <c r="A8" t="s">
        <v>77</v>
      </c>
      <c r="B8" t="s">
        <v>18</v>
      </c>
      <c r="C8" s="115">
        <v>6</v>
      </c>
      <c r="G8" s="3"/>
      <c r="H8" s="3"/>
      <c r="I8" s="3"/>
      <c r="J8" s="3"/>
      <c r="K8" s="3"/>
      <c r="L8" s="3"/>
      <c r="M8" s="121"/>
      <c r="O8" s="115">
        <v>6</v>
      </c>
      <c r="P8" s="109">
        <f t="shared" si="3"/>
        <v>0</v>
      </c>
      <c r="Q8" s="3"/>
      <c r="R8" s="109">
        <f t="shared" si="1"/>
        <v>0</v>
      </c>
      <c r="S8" s="3"/>
      <c r="T8" s="3"/>
      <c r="U8" s="109"/>
      <c r="V8" s="3"/>
      <c r="W8" s="143">
        <f t="shared" si="2"/>
        <v>0</v>
      </c>
      <c r="X8" s="121"/>
    </row>
    <row r="9" spans="1:24" ht="15.75" thickBot="1" x14ac:dyDescent="0.3">
      <c r="A9" t="s">
        <v>78</v>
      </c>
      <c r="B9" t="s">
        <v>13</v>
      </c>
      <c r="C9" s="116">
        <v>7</v>
      </c>
      <c r="D9" s="6"/>
      <c r="E9" s="7"/>
      <c r="F9" s="7"/>
      <c r="G9" s="7"/>
      <c r="H9" s="7"/>
      <c r="I9" s="7"/>
      <c r="J9" s="7"/>
      <c r="K9" s="7"/>
      <c r="L9" s="7"/>
      <c r="M9" s="122"/>
      <c r="O9" s="116">
        <v>7</v>
      </c>
      <c r="P9" s="109">
        <f t="shared" si="3"/>
        <v>0</v>
      </c>
      <c r="Q9" s="7"/>
      <c r="R9" s="109">
        <f t="shared" si="1"/>
        <v>0</v>
      </c>
      <c r="S9" s="7"/>
      <c r="T9" s="7"/>
      <c r="U9" s="127"/>
      <c r="V9" s="7"/>
      <c r="W9" s="143">
        <f t="shared" si="2"/>
        <v>0</v>
      </c>
      <c r="X9" s="122"/>
    </row>
    <row r="10" spans="1:24" ht="15.75" thickBot="1" x14ac:dyDescent="0.3">
      <c r="C10" s="138" t="s">
        <v>60</v>
      </c>
      <c r="D10" s="165">
        <f>AVERAGE(D3:D5)</f>
        <v>37690</v>
      </c>
      <c r="E10" s="135"/>
      <c r="F10" s="136">
        <f>AVERAGE(F3:F5)</f>
        <v>26.333333333333332</v>
      </c>
      <c r="G10" s="135"/>
      <c r="H10" s="135"/>
      <c r="I10" s="135"/>
      <c r="J10" s="136" t="e">
        <f>AVERAGE(J3:J9)</f>
        <v>#DIV/0!</v>
      </c>
      <c r="K10" s="135"/>
      <c r="L10" s="141" t="e">
        <f>AVERAGE(L3:L7)</f>
        <v>#DIV/0!</v>
      </c>
      <c r="M10" s="137"/>
      <c r="O10" s="138" t="s">
        <v>60</v>
      </c>
      <c r="P10" s="139">
        <f>AVERAGE(P3:P5)</f>
        <v>5.6337416286277816E-6</v>
      </c>
      <c r="Q10" s="135"/>
      <c r="R10" s="139">
        <f>AVERAGE(R3:R7)</f>
        <v>2.3376179520456729E-9</v>
      </c>
      <c r="S10" s="135"/>
      <c r="T10" s="135"/>
      <c r="U10" s="139" t="e">
        <f>AVERAGE(U3:U7)</f>
        <v>#DIV/0!</v>
      </c>
      <c r="V10" s="135"/>
      <c r="W10" s="144">
        <f>AVERAGE(W3:W7)</f>
        <v>0</v>
      </c>
      <c r="X10" s="137"/>
    </row>
    <row r="12" spans="1:24" ht="15.75" thickBot="1" x14ac:dyDescent="0.3"/>
    <row r="13" spans="1:24" ht="15.75" thickBot="1" x14ac:dyDescent="0.3">
      <c r="A13" s="8" t="s">
        <v>4</v>
      </c>
      <c r="B13" s="16" t="s">
        <v>14</v>
      </c>
      <c r="C13" s="9" t="s">
        <v>5</v>
      </c>
      <c r="F13" s="216" t="s">
        <v>87</v>
      </c>
      <c r="G13" s="216"/>
    </row>
    <row r="14" spans="1:24" x14ac:dyDescent="0.25">
      <c r="A14" s="4" t="s">
        <v>18</v>
      </c>
      <c r="B14" s="3" t="s">
        <v>15</v>
      </c>
      <c r="C14" s="29">
        <v>1.4947576621458694E-10</v>
      </c>
      <c r="E14">
        <v>1</v>
      </c>
      <c r="F14" t="e">
        <f>D3/I3</f>
        <v>#DIV/0!</v>
      </c>
    </row>
    <row r="15" spans="1:24" x14ac:dyDescent="0.25">
      <c r="A15" s="4" t="s">
        <v>19</v>
      </c>
      <c r="B15" s="3" t="s">
        <v>15</v>
      </c>
      <c r="C15" s="29">
        <f>(C14)*(C17/C16)</f>
        <v>1.5718070261740071E-10</v>
      </c>
      <c r="E15">
        <v>2</v>
      </c>
      <c r="F15" t="e">
        <f t="shared" ref="F15:F18" si="4">D4/I4</f>
        <v>#DIV/0!</v>
      </c>
    </row>
    <row r="16" spans="1:24" x14ac:dyDescent="0.25">
      <c r="A16" s="4" t="s">
        <v>6</v>
      </c>
      <c r="B16" s="3" t="s">
        <v>15</v>
      </c>
      <c r="C16" s="29">
        <f>(C14)*(0.97/0.98)</f>
        <v>1.4795050329402993E-10</v>
      </c>
      <c r="E16">
        <v>3</v>
      </c>
      <c r="F16" t="e">
        <f t="shared" si="4"/>
        <v>#DIV/0!</v>
      </c>
    </row>
    <row r="17" spans="1:6" x14ac:dyDescent="0.25">
      <c r="A17" s="5" t="s">
        <v>7</v>
      </c>
      <c r="B17" s="3" t="s">
        <v>15</v>
      </c>
      <c r="C17" s="29">
        <f>(C14)*(1.02/0.98)</f>
        <v>1.5557681789681499E-10</v>
      </c>
      <c r="E17">
        <v>4</v>
      </c>
      <c r="F17" t="e">
        <f t="shared" si="4"/>
        <v>#DIV/0!</v>
      </c>
    </row>
    <row r="18" spans="1:6" x14ac:dyDescent="0.25">
      <c r="A18" s="5" t="s">
        <v>10</v>
      </c>
      <c r="B18" s="3" t="s">
        <v>15</v>
      </c>
      <c r="C18" s="29">
        <f>C14*1.37</f>
        <v>2.0478179971398413E-10</v>
      </c>
      <c r="E18">
        <v>5</v>
      </c>
      <c r="F18" t="e">
        <f t="shared" si="4"/>
        <v>#DIV/0!</v>
      </c>
    </row>
    <row r="19" spans="1:6" x14ac:dyDescent="0.25">
      <c r="A19" s="5" t="s">
        <v>8</v>
      </c>
      <c r="B19" s="3" t="s">
        <v>16</v>
      </c>
      <c r="C19" s="29">
        <f>(38.3/33.5)*C22</f>
        <v>1.2722732422165167E-10</v>
      </c>
      <c r="E19" t="s">
        <v>93</v>
      </c>
      <c r="F19" t="e">
        <f>AVERAGE(F14:F18)</f>
        <v>#DIV/0!</v>
      </c>
    </row>
    <row r="20" spans="1:6" x14ac:dyDescent="0.25">
      <c r="A20" s="5" t="s">
        <v>9</v>
      </c>
      <c r="B20" s="3" t="s">
        <v>16</v>
      </c>
      <c r="C20" s="29">
        <f>(38.3/39.2)*C22</f>
        <v>1.0872743268942171E-10</v>
      </c>
    </row>
    <row r="21" spans="1:6" x14ac:dyDescent="0.25">
      <c r="A21" s="5" t="s">
        <v>12</v>
      </c>
      <c r="B21" s="3" t="s">
        <v>16</v>
      </c>
      <c r="C21" s="29">
        <v>1.2679079497666798E-10</v>
      </c>
    </row>
    <row r="22" spans="1:6" x14ac:dyDescent="0.25">
      <c r="A22" s="5" t="s">
        <v>13</v>
      </c>
      <c r="B22" s="3" t="s">
        <v>16</v>
      </c>
      <c r="C22" s="29">
        <v>1.1128238541580499E-10</v>
      </c>
    </row>
    <row r="23" spans="1:6" ht="15.75" thickBot="1" x14ac:dyDescent="0.3">
      <c r="A23" s="6" t="s">
        <v>11</v>
      </c>
      <c r="B23" s="7" t="s">
        <v>17</v>
      </c>
      <c r="C23" s="30">
        <v>9.8056356935757502E-11</v>
      </c>
    </row>
  </sheetData>
  <mergeCells count="3">
    <mergeCell ref="O1:X1"/>
    <mergeCell ref="A3:A5"/>
    <mergeCell ref="F13:G13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5EBC1-95F5-4FF9-B7AD-761CA1F1D772}">
  <dimension ref="B1:BK43"/>
  <sheetViews>
    <sheetView topLeftCell="B1" zoomScale="80" zoomScaleNormal="80" workbookViewId="0">
      <selection activeCell="AE15" sqref="AE15"/>
    </sheetView>
  </sheetViews>
  <sheetFormatPr defaultRowHeight="15" x14ac:dyDescent="0.25"/>
  <cols>
    <col min="2" max="2" width="18.5703125" bestFit="1" customWidth="1"/>
    <col min="3" max="3" width="22.42578125" bestFit="1" customWidth="1"/>
    <col min="4" max="4" width="13.5703125" customWidth="1"/>
    <col min="5" max="5" width="14.7109375" bestFit="1" customWidth="1"/>
    <col min="6" max="6" width="14.7109375" customWidth="1"/>
    <col min="7" max="7" width="19.5703125" bestFit="1" customWidth="1"/>
    <col min="8" max="8" width="10.42578125" style="3" customWidth="1"/>
    <col min="9" max="9" width="13.28515625" style="3" customWidth="1"/>
    <col min="10" max="10" width="13.28515625" style="2" bestFit="1" customWidth="1"/>
    <col min="11" max="11" width="13.42578125" style="2" bestFit="1" customWidth="1"/>
    <col min="12" max="12" width="10.7109375" style="2" bestFit="1" customWidth="1"/>
    <col min="13" max="13" width="10.85546875" style="2" bestFit="1" customWidth="1"/>
    <col min="14" max="15" width="12.5703125" style="2" customWidth="1"/>
    <col min="16" max="16" width="21.7109375" style="2" bestFit="1" customWidth="1"/>
    <col min="17" max="17" width="11" style="2" customWidth="1"/>
    <col min="18" max="18" width="10.28515625" style="2" bestFit="1" customWidth="1"/>
    <col min="19" max="19" width="12.28515625" style="2" customWidth="1"/>
    <col min="20" max="20" width="15.7109375" style="2" customWidth="1"/>
    <col min="21" max="21" width="14.85546875" customWidth="1"/>
    <col min="22" max="22" width="11.5703125" bestFit="1" customWidth="1"/>
    <col min="23" max="23" width="15.7109375" bestFit="1" customWidth="1"/>
    <col min="24" max="24" width="29.5703125" bestFit="1" customWidth="1"/>
    <col min="25" max="25" width="11.5703125" bestFit="1" customWidth="1"/>
    <col min="26" max="27" width="11.85546875" customWidth="1"/>
    <col min="28" max="30" width="11.5703125" bestFit="1" customWidth="1"/>
    <col min="31" max="31" width="15.5703125" customWidth="1"/>
    <col min="32" max="32" width="13.7109375" customWidth="1"/>
    <col min="33" max="33" width="9.5703125" style="3" bestFit="1" customWidth="1"/>
    <col min="34" max="34" width="9.28515625" style="3" bestFit="1" customWidth="1"/>
    <col min="35" max="37" width="9.5703125" style="3" bestFit="1" customWidth="1"/>
    <col min="38" max="39" width="9.5703125" style="3" customWidth="1"/>
    <col min="40" max="40" width="9.140625" style="3"/>
    <col min="41" max="43" width="10.5703125" style="3" bestFit="1" customWidth="1"/>
    <col min="44" max="44" width="10.7109375" style="3" bestFit="1" customWidth="1"/>
    <col min="45" max="47" width="10.7109375" style="3" customWidth="1"/>
    <col min="48" max="48" width="9.5703125" style="3" bestFit="1" customWidth="1"/>
    <col min="49" max="49" width="15.5703125" bestFit="1" customWidth="1"/>
    <col min="62" max="62" width="20.42578125" customWidth="1"/>
    <col min="63" max="63" width="18.42578125" bestFit="1" customWidth="1"/>
  </cols>
  <sheetData>
    <row r="1" spans="2:63" ht="15.75" thickBot="1" x14ac:dyDescent="0.3"/>
    <row r="2" spans="2:63" ht="15.75" thickBot="1" x14ac:dyDescent="0.3">
      <c r="H2" s="217" t="s">
        <v>76</v>
      </c>
      <c r="I2" s="218"/>
      <c r="J2" s="157">
        <v>4.7</v>
      </c>
      <c r="K2" s="156">
        <v>4.5</v>
      </c>
      <c r="L2" s="156">
        <v>3.1</v>
      </c>
      <c r="M2" s="156">
        <v>2.9</v>
      </c>
      <c r="N2" s="158">
        <v>2.7</v>
      </c>
      <c r="O2" s="156"/>
      <c r="P2" s="159">
        <v>2.7</v>
      </c>
      <c r="Q2" s="159">
        <v>4.5</v>
      </c>
      <c r="R2" s="159">
        <v>2.2000000000000002</v>
      </c>
      <c r="S2" s="161">
        <v>1.6</v>
      </c>
      <c r="T2" s="160">
        <v>1.3</v>
      </c>
    </row>
    <row r="3" spans="2:63" ht="15.75" thickBot="1" x14ac:dyDescent="0.3">
      <c r="B3" s="10" t="s">
        <v>0</v>
      </c>
      <c r="C3" s="47">
        <v>45552</v>
      </c>
      <c r="H3" s="224" t="s">
        <v>30</v>
      </c>
      <c r="I3" s="224" t="s">
        <v>33</v>
      </c>
      <c r="J3" s="232" t="s">
        <v>31</v>
      </c>
      <c r="K3" s="232"/>
      <c r="L3" s="232"/>
      <c r="M3" s="232"/>
      <c r="N3" s="232"/>
      <c r="O3" s="232"/>
      <c r="P3" s="232"/>
      <c r="Q3" s="232"/>
      <c r="R3" s="232"/>
      <c r="S3" s="232"/>
      <c r="T3" s="233"/>
      <c r="U3" s="211" t="s">
        <v>52</v>
      </c>
      <c r="V3" s="211"/>
      <c r="W3" s="211"/>
      <c r="X3" s="211"/>
      <c r="Y3" s="211"/>
      <c r="Z3" s="211"/>
      <c r="AA3" s="211"/>
      <c r="AB3" s="211"/>
      <c r="AC3" s="211"/>
      <c r="AD3" s="212"/>
      <c r="AE3" s="227" t="s">
        <v>34</v>
      </c>
      <c r="AF3" s="227"/>
      <c r="AG3" s="217" t="s">
        <v>73</v>
      </c>
      <c r="AH3" s="226"/>
      <c r="AI3" s="226"/>
      <c r="AJ3" s="226"/>
      <c r="AK3" s="226"/>
      <c r="AL3" s="226"/>
      <c r="AM3" s="226"/>
      <c r="AN3" s="226"/>
      <c r="AO3" s="224" t="s">
        <v>74</v>
      </c>
      <c r="AP3" s="224" t="s">
        <v>84</v>
      </c>
      <c r="AQ3" s="224" t="s">
        <v>75</v>
      </c>
      <c r="AR3" s="239" t="s">
        <v>80</v>
      </c>
      <c r="AS3" s="224" t="s">
        <v>81</v>
      </c>
      <c r="AT3" s="241" t="s">
        <v>82</v>
      </c>
      <c r="AU3" s="200"/>
      <c r="AV3" s="227" t="s">
        <v>36</v>
      </c>
      <c r="AW3" s="224" t="s">
        <v>49</v>
      </c>
      <c r="AX3" s="217" t="s">
        <v>95</v>
      </c>
      <c r="AY3" s="226"/>
      <c r="AZ3" s="226"/>
      <c r="BA3" s="226"/>
      <c r="BB3" s="226"/>
      <c r="BC3" s="218"/>
      <c r="BD3" s="217" t="s">
        <v>51</v>
      </c>
      <c r="BE3" s="226"/>
      <c r="BF3" s="226"/>
      <c r="BG3" s="226"/>
      <c r="BH3" s="226"/>
      <c r="BI3" s="218"/>
      <c r="BJ3" s="224" t="s">
        <v>53</v>
      </c>
      <c r="BK3" s="224" t="s">
        <v>54</v>
      </c>
    </row>
    <row r="4" spans="2:63" ht="15.75" thickBot="1" x14ac:dyDescent="0.3">
      <c r="B4" s="11" t="s">
        <v>1</v>
      </c>
      <c r="C4" s="48" t="s">
        <v>97</v>
      </c>
      <c r="E4" s="1"/>
      <c r="F4" s="1"/>
      <c r="H4" s="225"/>
      <c r="I4" s="225"/>
      <c r="J4" s="19" t="s">
        <v>40</v>
      </c>
      <c r="K4" s="20" t="s">
        <v>41</v>
      </c>
      <c r="L4" s="20" t="s">
        <v>42</v>
      </c>
      <c r="M4" s="20" t="s">
        <v>43</v>
      </c>
      <c r="N4" s="20" t="s">
        <v>70</v>
      </c>
      <c r="O4" s="20" t="s">
        <v>86</v>
      </c>
      <c r="P4" s="20" t="s">
        <v>45</v>
      </c>
      <c r="Q4" s="20" t="s">
        <v>72</v>
      </c>
      <c r="R4" s="20" t="s">
        <v>46</v>
      </c>
      <c r="S4" s="20" t="s">
        <v>47</v>
      </c>
      <c r="T4" s="31" t="s">
        <v>48</v>
      </c>
      <c r="U4" s="19" t="s">
        <v>18</v>
      </c>
      <c r="V4" s="20" t="s">
        <v>19</v>
      </c>
      <c r="W4" s="20" t="s">
        <v>6</v>
      </c>
      <c r="X4" s="20" t="s">
        <v>7</v>
      </c>
      <c r="Y4" s="20" t="s">
        <v>10</v>
      </c>
      <c r="Z4" s="20" t="s">
        <v>8</v>
      </c>
      <c r="AA4" s="20" t="s">
        <v>68</v>
      </c>
      <c r="AB4" s="20" t="s">
        <v>9</v>
      </c>
      <c r="AC4" s="20" t="s">
        <v>12</v>
      </c>
      <c r="AD4" s="31" t="s">
        <v>11</v>
      </c>
      <c r="AE4" s="234"/>
      <c r="AF4" s="228"/>
      <c r="AG4" s="19" t="s">
        <v>37</v>
      </c>
      <c r="AH4" s="20" t="s">
        <v>38</v>
      </c>
      <c r="AI4" s="20" t="s">
        <v>39</v>
      </c>
      <c r="AJ4" s="20" t="s">
        <v>10</v>
      </c>
      <c r="AK4" s="20" t="s">
        <v>8</v>
      </c>
      <c r="AL4" s="20" t="s">
        <v>68</v>
      </c>
      <c r="AM4" s="20" t="s">
        <v>35</v>
      </c>
      <c r="AN4" s="20" t="s">
        <v>11</v>
      </c>
      <c r="AO4" s="225"/>
      <c r="AP4" s="225"/>
      <c r="AQ4" s="225"/>
      <c r="AR4" s="240"/>
      <c r="AS4" s="225"/>
      <c r="AT4" s="242"/>
      <c r="AU4" s="168"/>
      <c r="AV4" s="228"/>
      <c r="AW4" s="225"/>
      <c r="AX4" s="19" t="s">
        <v>37</v>
      </c>
      <c r="AY4" s="20" t="s">
        <v>38</v>
      </c>
      <c r="AZ4" s="20" t="s">
        <v>39</v>
      </c>
      <c r="BA4" s="20" t="s">
        <v>10</v>
      </c>
      <c r="BB4" s="20" t="s">
        <v>35</v>
      </c>
      <c r="BC4" s="31" t="s">
        <v>11</v>
      </c>
      <c r="BD4" s="19" t="s">
        <v>37</v>
      </c>
      <c r="BE4" s="20" t="s">
        <v>38</v>
      </c>
      <c r="BF4" s="20" t="s">
        <v>39</v>
      </c>
      <c r="BG4" s="20" t="s">
        <v>10</v>
      </c>
      <c r="BH4" s="20" t="s">
        <v>35</v>
      </c>
      <c r="BI4" s="31" t="s">
        <v>11</v>
      </c>
      <c r="BJ4" s="225"/>
      <c r="BK4" s="225"/>
    </row>
    <row r="5" spans="2:63" x14ac:dyDescent="0.25">
      <c r="B5" s="11" t="s">
        <v>2</v>
      </c>
      <c r="C5" s="94">
        <v>0.20019999999999999</v>
      </c>
      <c r="H5" s="58" t="s">
        <v>32</v>
      </c>
      <c r="I5" s="58"/>
      <c r="J5" s="57"/>
      <c r="K5" s="78"/>
      <c r="L5" s="81"/>
      <c r="M5" s="59"/>
      <c r="N5" s="81"/>
      <c r="O5" s="81"/>
      <c r="P5" s="81"/>
      <c r="Q5" s="59"/>
      <c r="R5" s="81"/>
      <c r="S5" s="81"/>
      <c r="T5" s="60"/>
      <c r="U5" s="61">
        <f>J5*$D$9</f>
        <v>0</v>
      </c>
      <c r="V5" s="62">
        <f>K5*$D$10</f>
        <v>0</v>
      </c>
      <c r="W5" s="62">
        <f>L5*$D$11</f>
        <v>0</v>
      </c>
      <c r="X5" s="62">
        <f>M5*$D$12</f>
        <v>0</v>
      </c>
      <c r="Y5" s="62">
        <f>N5*$D$13</f>
        <v>0</v>
      </c>
      <c r="Z5" s="62">
        <f t="shared" ref="Z5:Z7" si="0">P5*$D$14</f>
        <v>0</v>
      </c>
      <c r="AA5" s="62"/>
      <c r="AB5" s="62">
        <f t="shared" ref="AB5:AB7" si="1">R5*$D$15</f>
        <v>0</v>
      </c>
      <c r="AC5" s="62">
        <f t="shared" ref="AC5:AC32" si="2">S5*$D$16</f>
        <v>0</v>
      </c>
      <c r="AD5" s="63">
        <f t="shared" ref="AD5:AD32" si="3">T5*$D$19</f>
        <v>0</v>
      </c>
      <c r="AE5" s="64"/>
      <c r="AF5" s="65"/>
      <c r="AG5" s="66"/>
      <c r="AH5" s="67"/>
      <c r="AI5" s="67"/>
      <c r="AJ5" s="67"/>
      <c r="AK5" s="67"/>
      <c r="AL5" s="67"/>
      <c r="AM5" s="67"/>
      <c r="AN5" s="145"/>
      <c r="AO5" s="145"/>
      <c r="AP5" s="145"/>
      <c r="AQ5" s="67"/>
      <c r="AR5" s="118"/>
      <c r="AS5" s="197"/>
      <c r="AT5" s="197"/>
      <c r="AU5" s="120"/>
      <c r="AV5" s="145"/>
      <c r="AW5" s="104"/>
      <c r="AX5" s="50"/>
      <c r="AY5" s="103"/>
      <c r="AZ5" s="103"/>
      <c r="BA5" s="103"/>
      <c r="BB5" s="103"/>
      <c r="BC5" s="104"/>
      <c r="BD5" s="105"/>
      <c r="BE5" s="103"/>
      <c r="BF5" s="103"/>
      <c r="BG5" s="103"/>
      <c r="BH5" s="103"/>
      <c r="BI5" s="104"/>
      <c r="BJ5" s="118"/>
      <c r="BK5" s="13"/>
    </row>
    <row r="6" spans="2:63" ht="15.75" thickBot="1" x14ac:dyDescent="0.3">
      <c r="B6" s="12" t="s">
        <v>3</v>
      </c>
      <c r="C6" s="46">
        <v>1</v>
      </c>
      <c r="H6" s="51" t="s">
        <v>32</v>
      </c>
      <c r="I6" s="57"/>
      <c r="J6" s="166"/>
      <c r="K6" s="79"/>
      <c r="L6" s="82"/>
      <c r="M6" s="52"/>
      <c r="N6" s="82"/>
      <c r="O6" s="82"/>
      <c r="P6" s="82"/>
      <c r="Q6" s="52"/>
      <c r="R6" s="82"/>
      <c r="S6" s="82"/>
      <c r="T6" s="53"/>
      <c r="U6" s="54">
        <f>J6*$D$9</f>
        <v>0</v>
      </c>
      <c r="V6" s="162">
        <f t="shared" ref="V6:V32" si="4">K6*$D$10</f>
        <v>0</v>
      </c>
      <c r="W6" s="162">
        <f t="shared" ref="W6:W7" si="5">L6*$D$11</f>
        <v>0</v>
      </c>
      <c r="X6" s="162">
        <f t="shared" ref="X6:X32" si="6">M6*$D$12</f>
        <v>0</v>
      </c>
      <c r="Y6" s="162">
        <f t="shared" ref="Y6:Y32" si="7">N6*$D$13</f>
        <v>0</v>
      </c>
      <c r="Z6" s="162">
        <f t="shared" si="0"/>
        <v>0</v>
      </c>
      <c r="AA6" s="162"/>
      <c r="AB6" s="162">
        <f t="shared" si="1"/>
        <v>0</v>
      </c>
      <c r="AC6" s="162">
        <f t="shared" si="2"/>
        <v>0</v>
      </c>
      <c r="AD6" s="55">
        <f t="shared" si="3"/>
        <v>0</v>
      </c>
      <c r="AE6" s="49"/>
      <c r="AF6" s="56"/>
      <c r="AG6" s="57"/>
      <c r="AH6" s="150"/>
      <c r="AI6" s="150"/>
      <c r="AJ6" s="150"/>
      <c r="AK6" s="150"/>
      <c r="AL6" s="150"/>
      <c r="AM6" s="150"/>
      <c r="AN6" s="146"/>
      <c r="AO6" s="146"/>
      <c r="AP6" s="146"/>
      <c r="AQ6" s="150"/>
      <c r="AR6" s="199"/>
      <c r="AS6" s="198"/>
      <c r="AT6" s="198"/>
      <c r="AU6" s="121"/>
      <c r="AV6" s="146"/>
      <c r="AW6" s="107"/>
      <c r="AX6" s="76"/>
      <c r="AY6" s="106"/>
      <c r="AZ6" s="106"/>
      <c r="BA6" s="106"/>
      <c r="BB6" s="106"/>
      <c r="BC6" s="107"/>
      <c r="BD6" s="108"/>
      <c r="BE6" s="106"/>
      <c r="BF6" s="106"/>
      <c r="BG6" s="106"/>
      <c r="BH6" s="106"/>
      <c r="BI6" s="107"/>
      <c r="BJ6" s="5"/>
      <c r="BK6" s="14"/>
    </row>
    <row r="7" spans="2:63" ht="15.75" thickBot="1" x14ac:dyDescent="0.3">
      <c r="G7" s="180" t="s">
        <v>88</v>
      </c>
      <c r="H7" s="68" t="s">
        <v>32</v>
      </c>
      <c r="I7" s="76"/>
      <c r="J7" s="166"/>
      <c r="K7" s="80"/>
      <c r="L7" s="83"/>
      <c r="M7" s="69"/>
      <c r="N7" s="83"/>
      <c r="O7" s="83"/>
      <c r="P7" s="83"/>
      <c r="Q7" s="69"/>
      <c r="R7" s="83"/>
      <c r="S7" s="83"/>
      <c r="T7" s="70"/>
      <c r="U7" s="71">
        <f t="shared" ref="U7:U32" si="8">J7*$D$9</f>
        <v>0</v>
      </c>
      <c r="V7" s="72">
        <f t="shared" si="4"/>
        <v>0</v>
      </c>
      <c r="W7" s="72">
        <f t="shared" si="5"/>
        <v>0</v>
      </c>
      <c r="X7" s="72">
        <f t="shared" si="6"/>
        <v>0</v>
      </c>
      <c r="Y7" s="72">
        <f t="shared" si="7"/>
        <v>0</v>
      </c>
      <c r="Z7" s="72">
        <f t="shared" si="0"/>
        <v>0</v>
      </c>
      <c r="AA7" s="72"/>
      <c r="AB7" s="72">
        <f t="shared" si="1"/>
        <v>0</v>
      </c>
      <c r="AC7" s="72">
        <f t="shared" si="2"/>
        <v>0</v>
      </c>
      <c r="AD7" s="73">
        <f t="shared" si="3"/>
        <v>0</v>
      </c>
      <c r="AE7" s="74"/>
      <c r="AF7" s="75"/>
      <c r="AG7" s="76"/>
      <c r="AH7" s="77"/>
      <c r="AI7" s="77"/>
      <c r="AJ7" s="77"/>
      <c r="AK7" s="77"/>
      <c r="AL7" s="77"/>
      <c r="AM7" s="77"/>
      <c r="AN7" s="147"/>
      <c r="AO7" s="147"/>
      <c r="AP7" s="147"/>
      <c r="AQ7" s="77"/>
      <c r="AR7" s="199"/>
      <c r="AS7" s="198"/>
      <c r="AT7" s="198"/>
      <c r="AU7" s="202"/>
      <c r="AV7" s="147"/>
      <c r="AW7" s="107"/>
      <c r="AX7" s="76"/>
      <c r="AY7" s="106"/>
      <c r="AZ7" s="106"/>
      <c r="BA7" s="106"/>
      <c r="BB7" s="106"/>
      <c r="BC7" s="107"/>
      <c r="BD7" s="108"/>
      <c r="BE7" s="106"/>
      <c r="BF7" s="106"/>
      <c r="BG7" s="106"/>
      <c r="BH7" s="106"/>
      <c r="BI7" s="107"/>
      <c r="BJ7" s="5"/>
      <c r="BK7" s="14"/>
    </row>
    <row r="8" spans="2:63" ht="15.75" thickBot="1" x14ac:dyDescent="0.3">
      <c r="B8" s="8" t="s">
        <v>4</v>
      </c>
      <c r="C8" s="16" t="s">
        <v>14</v>
      </c>
      <c r="D8" s="9" t="s">
        <v>5</v>
      </c>
      <c r="G8" s="181">
        <f>J8/O8</f>
        <v>0.13197166225430021</v>
      </c>
      <c r="H8" s="17">
        <v>1</v>
      </c>
      <c r="I8" s="17">
        <v>1</v>
      </c>
      <c r="J8" s="40">
        <v>8923</v>
      </c>
      <c r="K8" s="41">
        <v>100</v>
      </c>
      <c r="L8" s="41"/>
      <c r="M8" s="41"/>
      <c r="N8" s="41"/>
      <c r="O8" s="41">
        <v>67613</v>
      </c>
      <c r="P8" s="41">
        <v>11</v>
      </c>
      <c r="Q8" s="41">
        <v>0</v>
      </c>
      <c r="R8" s="41">
        <v>1</v>
      </c>
      <c r="S8" s="41"/>
      <c r="T8" s="42"/>
      <c r="U8" s="32">
        <f>J8*$D$9</f>
        <v>1.3337722619327594E-6</v>
      </c>
      <c r="V8" s="163">
        <f t="shared" si="4"/>
        <v>1.5718070261740071E-8</v>
      </c>
      <c r="W8" s="163">
        <f>(L8)*$D$11</f>
        <v>0</v>
      </c>
      <c r="X8" s="163">
        <f t="shared" si="6"/>
        <v>0</v>
      </c>
      <c r="Y8" s="163">
        <f t="shared" si="7"/>
        <v>0</v>
      </c>
      <c r="Z8" s="163">
        <f>P8*$D$14</f>
        <v>1.3995005664381684E-9</v>
      </c>
      <c r="AA8" s="163">
        <f>Q8*$D$17</f>
        <v>0</v>
      </c>
      <c r="AB8" s="163">
        <f>R8*$D$15</f>
        <v>1.0872743268942171E-10</v>
      </c>
      <c r="AC8" s="163">
        <f t="shared" si="2"/>
        <v>0</v>
      </c>
      <c r="AD8" s="33">
        <f t="shared" si="3"/>
        <v>0</v>
      </c>
      <c r="AE8" s="37">
        <f>((Branco3!$P$10-U8)/(Branco3!$P$10))*100</f>
        <v>76.325285221544164</v>
      </c>
      <c r="AF8" s="38"/>
      <c r="AG8" s="39">
        <f>(V8/SUM(V8,W8,X8,Y8,Z8,AA8,AB8,AD8))*100</f>
        <v>91.244619265917549</v>
      </c>
      <c r="AH8" s="39">
        <f>(W8/SUM(V8,X8,Y8,Z8,AA8,AB8,AD8))*100</f>
        <v>0</v>
      </c>
      <c r="AI8" s="39">
        <f>(X8/SUM(V8,W8,X8,Y8,Z8,AA8,AB8,AD8))*100</f>
        <v>0</v>
      </c>
      <c r="AJ8" s="39">
        <f>(Y8/SUM(V8,W8,X8,Y8,Z8,AA8,AB8,AD8))*100</f>
        <v>0</v>
      </c>
      <c r="AK8" s="39">
        <f>(Z8/SUM(V8,W8,X8,Y8,Z8,AA8,AB8,AD8))*100</f>
        <v>8.1242095384901223</v>
      </c>
      <c r="AL8" s="39">
        <f>(AA8/SUM(V8,W8,X8,Y8,Z8,AB8,AD8))*100</f>
        <v>0</v>
      </c>
      <c r="AM8" s="39">
        <f>(AB8/SUM(V8,W8,X8,Y8,Z8,AA8,AB8,AD8))*100</f>
        <v>0.6311711955923448</v>
      </c>
      <c r="AN8" s="38">
        <f>(AD8/SUM(V8,W8,X8,Y8,Z8,AA8,AB8,AD8))*100</f>
        <v>0</v>
      </c>
      <c r="AO8" s="38">
        <f>(V8/(SUM(V8+(W8*2/3)+(X8*2/3)+(Y8*1/3)+(Z8*1/3)+(AB8*1/3)))*100)</f>
        <v>96.900632116258194</v>
      </c>
      <c r="AP8" s="38">
        <f>(W8/(SUM(V8*3/2)+W8+(X8)+(Y8*1/2)+(Z8*1/2)++(AB8*1/2))*100)</f>
        <v>0</v>
      </c>
      <c r="AQ8" s="39">
        <f>(X8/(SUM(V8*3/2)+W8+X8+(Y8*1/2)+(Z8*1/2)+(AB8*1/2))*100)</f>
        <v>0</v>
      </c>
      <c r="AR8" s="39">
        <f>(Z8/(SUM(V8*3)+(W8*2)+(X8*2)+Y8+(Z8)+(AB8))*100)</f>
        <v>2.8759359403259408</v>
      </c>
      <c r="AS8" s="38">
        <f>(AB8/(SUM((V8*3)+(W8*2)+(X8*2)+Z8+Y8+AB8))*100)</f>
        <v>0.22343194341586048</v>
      </c>
      <c r="AT8" s="38">
        <f>(Y8/(SUM(V8*3)+(W8*2)+(X8*2)+Y8+Z8+AB8))*100</f>
        <v>0</v>
      </c>
      <c r="AU8" s="151">
        <f>AO8*AV8/100</f>
        <v>23.219947049373776</v>
      </c>
      <c r="AV8" s="151">
        <f>(((U8*3)+(V8*3)+(2*W8)+(2*X8)+(Y8)+(Z8)+(AB8)))/((Branco3!$P$10*3))*100</f>
        <v>23.962637335033325</v>
      </c>
      <c r="AW8" s="151">
        <f>(AU8*AE8)/100</f>
        <v>17.722690813726061</v>
      </c>
      <c r="AX8" s="186">
        <f>(((AW8/100)*($C$23/60)*1000)/$C$5)</f>
        <v>0.36202093740000013</v>
      </c>
      <c r="AY8" s="23">
        <f t="shared" ref="AY8:AY32" si="9">(AH8/100)*(($AE8/100)*($C$26))/($C$5/1000)</f>
        <v>0</v>
      </c>
      <c r="AZ8" s="23">
        <f t="shared" ref="AZ8:AZ32" si="10">(AI8/100)*(($AE8/100)*($C$26))/($C$5/1000)</f>
        <v>0</v>
      </c>
      <c r="BA8" s="23">
        <f t="shared" ref="BA8:BA32" si="11">(AJ8/100)*(($AE8/100)*($C$26))/($C$5/1000)</f>
        <v>0</v>
      </c>
      <c r="BB8" s="23">
        <f t="shared" ref="BB8:BB32" si="12">(AK8/100)*(($AE8/100)*($C$26))/($C$5/1000)</f>
        <v>15.199693331794418</v>
      </c>
      <c r="BC8" s="151">
        <f t="shared" ref="BC8:BC17" si="13">(AN8/100)*(($AE8/100)*($C$26))/($C$5/1000)</f>
        <v>0</v>
      </c>
      <c r="BD8" s="39">
        <f>AX8*42.8</f>
        <v>15.494496120720004</v>
      </c>
      <c r="BE8" s="23">
        <f>AY8*30.07</f>
        <v>0</v>
      </c>
      <c r="BF8" s="3">
        <f>AZ8*28.05</f>
        <v>0</v>
      </c>
      <c r="BG8" s="3">
        <f>BA8*16.04</f>
        <v>0</v>
      </c>
      <c r="BH8" s="3">
        <f>BB8*28.01</f>
        <v>425.74341022356168</v>
      </c>
      <c r="BI8" s="121">
        <f>BC8*2</f>
        <v>0</v>
      </c>
      <c r="BJ8" s="193">
        <f t="shared" ref="BJ8:BJ16" si="14">V8*3+W8*2+X8*2+Y8+Z8+AB8</f>
        <v>4.8662438784347801E-8</v>
      </c>
      <c r="BK8" s="194">
        <f t="shared" ref="BK8:BK16" si="15">(BJ8/((3*U8)+BJ8))*100</f>
        <v>1.2015478619982982</v>
      </c>
    </row>
    <row r="9" spans="2:63" x14ac:dyDescent="0.25">
      <c r="B9" s="4" t="s">
        <v>18</v>
      </c>
      <c r="C9" s="3" t="s">
        <v>15</v>
      </c>
      <c r="D9" s="29">
        <v>1.4947576621458694E-10</v>
      </c>
      <c r="E9" s="149">
        <f>D9/$D$18</f>
        <v>1.3432113775785175</v>
      </c>
      <c r="F9" s="149"/>
      <c r="G9" s="181">
        <f t="shared" ref="G9:G28" si="16">J9/O9</f>
        <v>0.18264721208963003</v>
      </c>
      <c r="H9" s="17">
        <v>2</v>
      </c>
      <c r="I9" s="17">
        <v>15</v>
      </c>
      <c r="J9" s="40">
        <v>11917</v>
      </c>
      <c r="K9" s="41">
        <v>135</v>
      </c>
      <c r="L9" s="41"/>
      <c r="M9" s="41"/>
      <c r="N9" s="41"/>
      <c r="O9" s="41">
        <v>65246</v>
      </c>
      <c r="P9" s="41">
        <v>6</v>
      </c>
      <c r="Q9" s="41">
        <v>0</v>
      </c>
      <c r="R9" s="41">
        <v>13</v>
      </c>
      <c r="S9" s="41"/>
      <c r="T9" s="42"/>
      <c r="U9" s="32">
        <f t="shared" si="8"/>
        <v>1.7813027059792325E-6</v>
      </c>
      <c r="V9" s="163">
        <f t="shared" si="4"/>
        <v>2.1219394853349096E-8</v>
      </c>
      <c r="W9" s="163">
        <f t="shared" ref="W9:W32" si="17">(L9)*$D$11</f>
        <v>0</v>
      </c>
      <c r="X9" s="163">
        <f t="shared" si="6"/>
        <v>0</v>
      </c>
      <c r="Y9" s="163">
        <f t="shared" si="7"/>
        <v>0</v>
      </c>
      <c r="Z9" s="163">
        <f t="shared" ref="Z9:Z32" si="18">P9*$D$14</f>
        <v>7.6336394532991006E-10</v>
      </c>
      <c r="AA9" s="163">
        <f t="shared" ref="AA9:AA32" si="19">Q9*$D$17</f>
        <v>0</v>
      </c>
      <c r="AB9" s="163">
        <f t="shared" ref="AB9:AB32" si="20">R9*$D$15</f>
        <v>1.4134566249624821E-9</v>
      </c>
      <c r="AC9" s="163">
        <f t="shared" si="2"/>
        <v>0</v>
      </c>
      <c r="AD9" s="33">
        <f t="shared" si="3"/>
        <v>0</v>
      </c>
      <c r="AE9" s="37">
        <f>((Branco3!$P$10-U9)/(Branco3!$P$10))*100</f>
        <v>68.381533563279376</v>
      </c>
      <c r="AF9" s="38"/>
      <c r="AG9" s="39">
        <f t="shared" ref="AG9:AG32" si="21">(V9/SUM(V9,W9,X9,Y9,Z9,AA9,AB9,AD9))*100</f>
        <v>90.695843191404563</v>
      </c>
      <c r="AH9" s="39">
        <f t="shared" ref="AH9:AH32" si="22">(W9/SUM(V9,X9,Y9,Z9,AA9,AB9,AD9))*100</f>
        <v>0</v>
      </c>
      <c r="AI9" s="39">
        <f t="shared" ref="AI9:AI32" si="23">(X9/SUM(V9,W9,X9,Y9,Z9,AA9,AB9,AD9))*100</f>
        <v>0</v>
      </c>
      <c r="AJ9" s="39">
        <f t="shared" ref="AJ9:AJ32" si="24">(Y9/SUM(V9,W9,X9,Y9,Z9,AA9,AB9,AD9))*100</f>
        <v>0</v>
      </c>
      <c r="AK9" s="39">
        <f t="shared" ref="AK9:AK32" si="25">(Z9/SUM(V9,W9,X9,Y9,Z9,AA9,AB9,AD9))*100</f>
        <v>3.262766783035103</v>
      </c>
      <c r="AL9" s="39">
        <f t="shared" ref="AL9:AL32" si="26">(AA9/SUM(V9,W9,X9,Y9,Z9,AB9,AD9))*100</f>
        <v>0</v>
      </c>
      <c r="AM9" s="39">
        <f t="shared" ref="AM9:AM32" si="27">(AB9/SUM(V9,W9,X9,Y9,Z9,AA9,AB9,AD9))*100</f>
        <v>6.0413900255603208</v>
      </c>
      <c r="AN9" s="38">
        <f t="shared" ref="AN9:AN25" si="28">(AD9/SUM(V9,W9,X9,Y9,Z9,AA9,AB9,AD9))*100</f>
        <v>0</v>
      </c>
      <c r="AO9" s="38">
        <f t="shared" ref="AO9:AO32" si="29">(V9/(SUM(V9+(W9*2/3)+(X9*2/3)+(Y9*1/3)+(Z9*1/3)+(AB9*1/3)))*100)</f>
        <v>96.693521074415131</v>
      </c>
      <c r="AP9" s="38">
        <f t="shared" ref="AP9:AP32" si="30">(W9/(SUM(V9*3/2)+W9+(X9)+(Y9*1/2)+(Z9*1/2)++(AB9*1/2))*100)</f>
        <v>0</v>
      </c>
      <c r="AQ9" s="39">
        <f t="shared" ref="AQ9:AQ32" si="31">(X9/(SUM(V9*3/2)+W9+X9+(Y9*1/2)+(Z9*1/2)+(AB9*1/2))*100)</f>
        <v>0</v>
      </c>
      <c r="AR9" s="39">
        <f t="shared" ref="AR9:AR32" si="32">(Z9/(SUM(V9*3)+(W9*2)+(X9*2)+Y9+(Z9)+(AB9))*100)</f>
        <v>1.159510725059727</v>
      </c>
      <c r="AS9" s="38">
        <f t="shared" ref="AS9:AS32" si="33">(AB9/(SUM((V9*3)+(W9*2)+(X9*2)+Z9+Y9+AB9))*100)</f>
        <v>2.1469682005251323</v>
      </c>
      <c r="AT9" s="38">
        <f t="shared" ref="AT9:AT28" si="34">(Y9/(SUM(V9*3)+(W9*2)+(X9*2)+Y9+Z9+AB9))*100</f>
        <v>0</v>
      </c>
      <c r="AU9" s="151">
        <f t="shared" ref="AU9:AU28" si="35">AO9*AV9/100</f>
        <v>30.949656856791318</v>
      </c>
      <c r="AV9" s="151">
        <f>(((U9*3)+(V9*3)+(2*W9)+(2*X9)+(Y9)+(Z9)+(AB9)))/((Branco3!$P$10*3))*100</f>
        <v>32.007994447707127</v>
      </c>
      <c r="AW9" s="151">
        <f t="shared" ref="AW9:AW28" si="36">(AU9*AE9)/100</f>
        <v>21.163849991246551</v>
      </c>
      <c r="AX9" s="186">
        <f t="shared" ref="AX9:AX28" si="37">(((AW9/100)*($C$23/60)*1000)/$C$5)</f>
        <v>0.43231340507786209</v>
      </c>
      <c r="AY9" s="23">
        <f t="shared" si="9"/>
        <v>0</v>
      </c>
      <c r="AZ9" s="23">
        <f t="shared" si="10"/>
        <v>0</v>
      </c>
      <c r="BA9" s="23">
        <f t="shared" si="11"/>
        <v>0</v>
      </c>
      <c r="BB9" s="23">
        <f t="shared" si="12"/>
        <v>5.4690279422829793</v>
      </c>
      <c r="BC9" s="151">
        <f t="shared" si="13"/>
        <v>0</v>
      </c>
      <c r="BD9" s="39">
        <f t="shared" ref="BD9:BD32" si="38">AX9*42.8</f>
        <v>18.503013737332495</v>
      </c>
      <c r="BE9" s="23">
        <f t="shared" ref="BE9:BE32" si="39">AY9*30.07</f>
        <v>0</v>
      </c>
      <c r="BF9" s="3">
        <f t="shared" ref="BF9:BF32" si="40">AZ9*28.05</f>
        <v>0</v>
      </c>
      <c r="BG9" s="3">
        <f t="shared" ref="BG9:BG32" si="41">BA9*16.04</f>
        <v>0</v>
      </c>
      <c r="BH9" s="3">
        <f t="shared" ref="BH9:BH32" si="42">BB9*28.01</f>
        <v>153.18747266334626</v>
      </c>
      <c r="BI9" s="121">
        <f t="shared" ref="BI9:BI32" si="43">BC9*2</f>
        <v>0</v>
      </c>
      <c r="BJ9" s="193">
        <f t="shared" si="14"/>
        <v>6.5835005130339681E-8</v>
      </c>
      <c r="BK9" s="194">
        <f t="shared" si="15"/>
        <v>1.2169710027377889</v>
      </c>
    </row>
    <row r="10" spans="2:63" x14ac:dyDescent="0.25">
      <c r="B10" s="4" t="s">
        <v>19</v>
      </c>
      <c r="C10" s="3" t="s">
        <v>15</v>
      </c>
      <c r="D10" s="29">
        <f>(D9)*(D12/D11)</f>
        <v>1.5718070261740071E-10</v>
      </c>
      <c r="E10" s="149">
        <f t="shared" ref="E10:E19" si="44">D10/$D$18</f>
        <v>1.4124490774536989</v>
      </c>
      <c r="F10" s="149"/>
      <c r="G10" s="181">
        <f t="shared" si="16"/>
        <v>0.18229398492778537</v>
      </c>
      <c r="H10" s="17">
        <v>3</v>
      </c>
      <c r="I10" s="17">
        <v>30</v>
      </c>
      <c r="J10" s="40">
        <v>11877</v>
      </c>
      <c r="K10" s="41">
        <v>119</v>
      </c>
      <c r="L10" s="41"/>
      <c r="M10" s="41"/>
      <c r="N10" s="41"/>
      <c r="O10" s="41">
        <v>65153</v>
      </c>
      <c r="P10" s="41">
        <v>4</v>
      </c>
      <c r="Q10" s="41">
        <v>0</v>
      </c>
      <c r="R10" s="41">
        <v>14</v>
      </c>
      <c r="S10" s="41"/>
      <c r="T10" s="42"/>
      <c r="U10" s="32">
        <f t="shared" si="8"/>
        <v>1.7753236753306492E-6</v>
      </c>
      <c r="V10" s="163">
        <f t="shared" si="4"/>
        <v>1.8704503611470684E-8</v>
      </c>
      <c r="W10" s="163">
        <f t="shared" si="17"/>
        <v>0</v>
      </c>
      <c r="X10" s="163">
        <f t="shared" si="6"/>
        <v>0</v>
      </c>
      <c r="Y10" s="163">
        <f t="shared" si="7"/>
        <v>0</v>
      </c>
      <c r="Z10" s="163">
        <f t="shared" si="18"/>
        <v>5.0890929688660667E-10</v>
      </c>
      <c r="AA10" s="163">
        <f t="shared" si="19"/>
        <v>0</v>
      </c>
      <c r="AB10" s="163">
        <f t="shared" si="20"/>
        <v>1.522184057651904E-9</v>
      </c>
      <c r="AC10" s="163">
        <f t="shared" si="2"/>
        <v>0</v>
      </c>
      <c r="AD10" s="33">
        <f t="shared" si="3"/>
        <v>0</v>
      </c>
      <c r="AE10" s="37">
        <f>((Branco3!$P$10-U10)/(Branco3!$P$10))*100</f>
        <v>68.487662509949573</v>
      </c>
      <c r="AF10" s="38"/>
      <c r="AG10" s="39">
        <f>(V10/SUM(V10,W10,X10,Y10,Z10,AA10,AB10,AD10))*100</f>
        <v>90.204799225853122</v>
      </c>
      <c r="AH10" s="39">
        <f t="shared" si="22"/>
        <v>0</v>
      </c>
      <c r="AI10" s="39">
        <f t="shared" si="23"/>
        <v>0</v>
      </c>
      <c r="AJ10" s="39">
        <f t="shared" si="24"/>
        <v>0</v>
      </c>
      <c r="AK10" s="39">
        <f t="shared" si="25"/>
        <v>2.4542784937459761</v>
      </c>
      <c r="AL10" s="39">
        <f t="shared" si="26"/>
        <v>0</v>
      </c>
      <c r="AM10" s="39">
        <f t="shared" si="27"/>
        <v>7.3409222804009104</v>
      </c>
      <c r="AN10" s="38">
        <f t="shared" si="28"/>
        <v>0</v>
      </c>
      <c r="AO10" s="38">
        <f t="shared" si="29"/>
        <v>96.506824007369403</v>
      </c>
      <c r="AP10" s="38">
        <f t="shared" si="30"/>
        <v>0</v>
      </c>
      <c r="AQ10" s="39">
        <f t="shared" si="31"/>
        <v>0</v>
      </c>
      <c r="AR10" s="39">
        <f t="shared" si="32"/>
        <v>0.87524767600587872</v>
      </c>
      <c r="AS10" s="38">
        <f t="shared" si="33"/>
        <v>2.6179283166247269</v>
      </c>
      <c r="AT10" s="38">
        <f t="shared" si="34"/>
        <v>0</v>
      </c>
      <c r="AU10" s="151">
        <f t="shared" si="35"/>
        <v>30.743564627152622</v>
      </c>
      <c r="AV10" s="151">
        <f>(((U10*3)+(V10*3)+(2*W10)+(2*X10)+(Y10)+(Z10)+(AB10)))/((Branco3!$P$10*3))*100</f>
        <v>31.85636346793984</v>
      </c>
      <c r="AW10" s="151">
        <f t="shared" si="36"/>
        <v>21.055548785372526</v>
      </c>
      <c r="AX10" s="186">
        <f t="shared" si="37"/>
        <v>0.43010113920446003</v>
      </c>
      <c r="AY10" s="23">
        <f t="shared" si="9"/>
        <v>0</v>
      </c>
      <c r="AZ10" s="23">
        <f t="shared" si="10"/>
        <v>0</v>
      </c>
      <c r="BA10" s="23">
        <f t="shared" si="11"/>
        <v>0</v>
      </c>
      <c r="BB10" s="23">
        <f t="shared" si="12"/>
        <v>4.1202299950065973</v>
      </c>
      <c r="BC10" s="151">
        <f t="shared" si="13"/>
        <v>0</v>
      </c>
      <c r="BD10" s="39">
        <f t="shared" si="38"/>
        <v>18.408328757950887</v>
      </c>
      <c r="BE10" s="23">
        <f t="shared" si="39"/>
        <v>0</v>
      </c>
      <c r="BF10" s="3">
        <f t="shared" si="40"/>
        <v>0</v>
      </c>
      <c r="BG10" s="3">
        <f t="shared" si="41"/>
        <v>0</v>
      </c>
      <c r="BH10" s="3">
        <f t="shared" si="42"/>
        <v>115.4076421601348</v>
      </c>
      <c r="BI10" s="121">
        <f t="shared" si="43"/>
        <v>0</v>
      </c>
      <c r="BJ10" s="193">
        <f t="shared" si="14"/>
        <v>5.8144604188950566E-8</v>
      </c>
      <c r="BK10" s="194">
        <f t="shared" si="15"/>
        <v>1.07992859334258</v>
      </c>
    </row>
    <row r="11" spans="2:63" x14ac:dyDescent="0.25">
      <c r="B11" s="4" t="s">
        <v>6</v>
      </c>
      <c r="C11" s="3" t="s">
        <v>15</v>
      </c>
      <c r="D11" s="29">
        <v>1.4795050329402993E-10</v>
      </c>
      <c r="E11" s="149">
        <f t="shared" si="44"/>
        <v>1.3295051390317978</v>
      </c>
      <c r="F11" s="149"/>
      <c r="G11" s="181">
        <f t="shared" si="16"/>
        <v>0.18631622605569978</v>
      </c>
      <c r="H11" s="17">
        <v>4</v>
      </c>
      <c r="I11" s="17">
        <v>45</v>
      </c>
      <c r="J11" s="40">
        <v>12129</v>
      </c>
      <c r="K11" s="41">
        <v>69</v>
      </c>
      <c r="L11" s="41"/>
      <c r="M11" s="41"/>
      <c r="N11" s="41"/>
      <c r="O11" s="41">
        <v>65099</v>
      </c>
      <c r="P11" s="41">
        <v>1</v>
      </c>
      <c r="Q11" s="41">
        <v>0</v>
      </c>
      <c r="R11" s="41">
        <v>7</v>
      </c>
      <c r="S11" s="41"/>
      <c r="T11" s="42"/>
      <c r="U11" s="32">
        <f t="shared" si="8"/>
        <v>1.8129915684167251E-6</v>
      </c>
      <c r="V11" s="163">
        <f t="shared" si="4"/>
        <v>1.0845468480600649E-8</v>
      </c>
      <c r="W11" s="163">
        <f t="shared" si="17"/>
        <v>0</v>
      </c>
      <c r="X11" s="163">
        <f t="shared" si="6"/>
        <v>0</v>
      </c>
      <c r="Y11" s="163">
        <f t="shared" si="7"/>
        <v>0</v>
      </c>
      <c r="Z11" s="163">
        <f t="shared" si="18"/>
        <v>1.2722732422165167E-10</v>
      </c>
      <c r="AA11" s="163">
        <f t="shared" si="19"/>
        <v>0</v>
      </c>
      <c r="AB11" s="163">
        <f t="shared" si="20"/>
        <v>7.61092028825952E-10</v>
      </c>
      <c r="AC11" s="163">
        <f t="shared" si="2"/>
        <v>0</v>
      </c>
      <c r="AD11" s="33">
        <f t="shared" si="3"/>
        <v>0</v>
      </c>
      <c r="AE11" s="37">
        <f>((Branco3!$P$10-U11)/(Branco3!$P$10))*100</f>
        <v>67.819050145927292</v>
      </c>
      <c r="AF11" s="38"/>
      <c r="AG11" s="39">
        <f t="shared" si="21"/>
        <v>92.429389676705895</v>
      </c>
      <c r="AH11" s="39">
        <f t="shared" si="22"/>
        <v>0</v>
      </c>
      <c r="AI11" s="39">
        <f t="shared" si="23"/>
        <v>0</v>
      </c>
      <c r="AJ11" s="39">
        <f t="shared" si="24"/>
        <v>0</v>
      </c>
      <c r="AK11" s="39">
        <f t="shared" si="25"/>
        <v>1.0842817854334286</v>
      </c>
      <c r="AL11" s="39">
        <f t="shared" si="26"/>
        <v>0</v>
      </c>
      <c r="AM11" s="39">
        <f t="shared" si="27"/>
        <v>6.4863285378606887</v>
      </c>
      <c r="AN11" s="38">
        <f t="shared" si="28"/>
        <v>0</v>
      </c>
      <c r="AO11" s="38">
        <f t="shared" si="29"/>
        <v>97.34232859507496</v>
      </c>
      <c r="AP11" s="38">
        <f t="shared" si="30"/>
        <v>0</v>
      </c>
      <c r="AQ11" s="39">
        <f t="shared" si="31"/>
        <v>0</v>
      </c>
      <c r="AR11" s="39">
        <f t="shared" si="32"/>
        <v>0.38063835978465932</v>
      </c>
      <c r="AS11" s="38">
        <f t="shared" si="33"/>
        <v>2.2770330451403731</v>
      </c>
      <c r="AT11" s="38">
        <f t="shared" si="34"/>
        <v>0</v>
      </c>
      <c r="AU11" s="151">
        <f t="shared" si="35"/>
        <v>31.518195108324679</v>
      </c>
      <c r="AV11" s="151">
        <f>(((U11*3)+(V11*3)+(2*W11)+(2*X11)+(Y11)+(Z11)+(AB11)))/((Branco3!$P$10*3))*100</f>
        <v>32.378714957019575</v>
      </c>
      <c r="AW11" s="151">
        <f t="shared" si="36"/>
        <v>21.375340545605919</v>
      </c>
      <c r="AX11" s="186">
        <f t="shared" si="37"/>
        <v>0.43663351704873316</v>
      </c>
      <c r="AY11" s="23">
        <f t="shared" si="9"/>
        <v>0</v>
      </c>
      <c r="AZ11" s="23">
        <f t="shared" si="10"/>
        <v>0</v>
      </c>
      <c r="BA11" s="23">
        <f t="shared" si="11"/>
        <v>0</v>
      </c>
      <c r="BB11" s="23">
        <f t="shared" si="12"/>
        <v>1.8025160431371263</v>
      </c>
      <c r="BC11" s="151">
        <f t="shared" si="13"/>
        <v>0</v>
      </c>
      <c r="BD11" s="39">
        <f t="shared" si="38"/>
        <v>18.687914529685777</v>
      </c>
      <c r="BE11" s="23">
        <f t="shared" si="39"/>
        <v>0</v>
      </c>
      <c r="BF11" s="3">
        <f t="shared" si="40"/>
        <v>0</v>
      </c>
      <c r="BG11" s="3">
        <f t="shared" si="41"/>
        <v>0</v>
      </c>
      <c r="BH11" s="3">
        <f t="shared" si="42"/>
        <v>50.488474368270914</v>
      </c>
      <c r="BI11" s="121">
        <f t="shared" si="43"/>
        <v>0</v>
      </c>
      <c r="BJ11" s="193">
        <f t="shared" si="14"/>
        <v>3.3424724794849551E-8</v>
      </c>
      <c r="BK11" s="194">
        <f t="shared" si="15"/>
        <v>0.61078737438898068</v>
      </c>
    </row>
    <row r="12" spans="2:63" x14ac:dyDescent="0.25">
      <c r="B12" s="5" t="s">
        <v>7</v>
      </c>
      <c r="C12" s="3" t="s">
        <v>15</v>
      </c>
      <c r="D12" s="29">
        <f>(D9)*(1.02/0.98)</f>
        <v>1.5557681789681499E-10</v>
      </c>
      <c r="E12" s="149">
        <f t="shared" si="44"/>
        <v>1.3980363317653957</v>
      </c>
      <c r="F12" s="149"/>
      <c r="G12" s="181">
        <f t="shared" si="16"/>
        <v>0.18114677051161543</v>
      </c>
      <c r="H12" s="84">
        <v>5</v>
      </c>
      <c r="I12" s="84">
        <v>60</v>
      </c>
      <c r="J12" s="85">
        <v>12141</v>
      </c>
      <c r="K12" s="86">
        <v>33</v>
      </c>
      <c r="L12" s="86"/>
      <c r="M12" s="86"/>
      <c r="N12" s="86"/>
      <c r="O12" s="86">
        <v>67023</v>
      </c>
      <c r="P12" s="86">
        <v>0</v>
      </c>
      <c r="Q12" s="86">
        <v>0</v>
      </c>
      <c r="R12" s="86">
        <v>2</v>
      </c>
      <c r="S12" s="86"/>
      <c r="T12" s="87"/>
      <c r="U12" s="88">
        <f t="shared" si="8"/>
        <v>1.8147852776113001E-6</v>
      </c>
      <c r="V12" s="164">
        <f t="shared" si="4"/>
        <v>5.1869631863742229E-9</v>
      </c>
      <c r="W12" s="164">
        <f t="shared" si="17"/>
        <v>0</v>
      </c>
      <c r="X12" s="164">
        <f t="shared" si="6"/>
        <v>0</v>
      </c>
      <c r="Y12" s="164">
        <f t="shared" si="7"/>
        <v>0</v>
      </c>
      <c r="Z12" s="163">
        <f t="shared" si="18"/>
        <v>0</v>
      </c>
      <c r="AA12" s="164">
        <f t="shared" si="19"/>
        <v>0</v>
      </c>
      <c r="AB12" s="163">
        <f t="shared" si="20"/>
        <v>2.1745486537884341E-10</v>
      </c>
      <c r="AC12" s="164">
        <f t="shared" si="2"/>
        <v>0</v>
      </c>
      <c r="AD12" s="89">
        <f t="shared" si="3"/>
        <v>0</v>
      </c>
      <c r="AE12" s="90">
        <f>((Branco3!$P$10-U12)/(Branco3!$P$10))*100</f>
        <v>67.787211461926233</v>
      </c>
      <c r="AF12" s="91"/>
      <c r="AG12" s="92">
        <f t="shared" si="21"/>
        <v>95.976350028874876</v>
      </c>
      <c r="AH12" s="92">
        <f t="shared" si="22"/>
        <v>0</v>
      </c>
      <c r="AI12" s="92">
        <f t="shared" si="23"/>
        <v>0</v>
      </c>
      <c r="AJ12" s="92">
        <f t="shared" si="24"/>
        <v>0</v>
      </c>
      <c r="AK12" s="92">
        <f t="shared" si="25"/>
        <v>0</v>
      </c>
      <c r="AL12" s="92">
        <f t="shared" si="26"/>
        <v>0</v>
      </c>
      <c r="AM12" s="92">
        <f t="shared" si="27"/>
        <v>4.0236499711251277</v>
      </c>
      <c r="AN12" s="91">
        <f t="shared" si="28"/>
        <v>0</v>
      </c>
      <c r="AO12" s="91">
        <f t="shared" si="29"/>
        <v>98.6218144342117</v>
      </c>
      <c r="AP12" s="91">
        <f t="shared" si="30"/>
        <v>0</v>
      </c>
      <c r="AQ12" s="92">
        <f t="shared" si="31"/>
        <v>0</v>
      </c>
      <c r="AR12" s="92">
        <f t="shared" si="32"/>
        <v>0</v>
      </c>
      <c r="AS12" s="91">
        <f t="shared" si="33"/>
        <v>1.3781855657883038</v>
      </c>
      <c r="AT12" s="91">
        <f t="shared" si="34"/>
        <v>0</v>
      </c>
      <c r="AU12" s="151">
        <f t="shared" si="35"/>
        <v>31.860906132622649</v>
      </c>
      <c r="AV12" s="101">
        <f>(((U12*3)+(V12*3)+(2*W12)+(2*X12)+(Y12)+(Z12)+(AB12)))/((Branco3!$P$10*3))*100</f>
        <v>32.306144756519679</v>
      </c>
      <c r="AW12" s="151">
        <f t="shared" si="36"/>
        <v>21.597619813806737</v>
      </c>
      <c r="AX12" s="191">
        <f t="shared" si="37"/>
        <v>0.44117400979243798</v>
      </c>
      <c r="AY12" s="93">
        <f t="shared" si="9"/>
        <v>0</v>
      </c>
      <c r="AZ12" s="93">
        <f t="shared" si="10"/>
        <v>0</v>
      </c>
      <c r="BA12" s="93">
        <f t="shared" si="11"/>
        <v>0</v>
      </c>
      <c r="BB12" s="93">
        <f t="shared" si="12"/>
        <v>0</v>
      </c>
      <c r="BC12" s="101">
        <f t="shared" si="13"/>
        <v>0</v>
      </c>
      <c r="BD12" s="92">
        <f t="shared" si="38"/>
        <v>18.882247619116345</v>
      </c>
      <c r="BE12" s="93">
        <f t="shared" si="39"/>
        <v>0</v>
      </c>
      <c r="BF12" s="189">
        <f t="shared" si="40"/>
        <v>0</v>
      </c>
      <c r="BG12" s="189">
        <f t="shared" si="41"/>
        <v>0</v>
      </c>
      <c r="BH12" s="189">
        <f t="shared" si="42"/>
        <v>0</v>
      </c>
      <c r="BI12" s="190">
        <f t="shared" si="43"/>
        <v>0</v>
      </c>
      <c r="BJ12" s="193">
        <f t="shared" si="14"/>
        <v>1.5778344424501511E-8</v>
      </c>
      <c r="BK12" s="194">
        <f t="shared" si="15"/>
        <v>0.28897356570867283</v>
      </c>
    </row>
    <row r="13" spans="2:63" x14ac:dyDescent="0.25">
      <c r="B13" s="5" t="s">
        <v>10</v>
      </c>
      <c r="C13" s="3" t="s">
        <v>15</v>
      </c>
      <c r="D13" s="29">
        <f>D9*1.37</f>
        <v>2.0478179971398413E-10</v>
      </c>
      <c r="E13" s="149">
        <f t="shared" si="44"/>
        <v>1.8401995872825689</v>
      </c>
      <c r="F13" s="149"/>
      <c r="G13" s="181">
        <f t="shared" si="16"/>
        <v>0.19001506348181624</v>
      </c>
      <c r="H13" s="17">
        <v>6</v>
      </c>
      <c r="I13" s="17">
        <v>75</v>
      </c>
      <c r="J13" s="40">
        <v>12362</v>
      </c>
      <c r="K13" s="41">
        <v>45</v>
      </c>
      <c r="L13" s="41"/>
      <c r="M13" s="41"/>
      <c r="N13" s="41"/>
      <c r="O13" s="41">
        <v>65058</v>
      </c>
      <c r="P13" s="41">
        <v>0</v>
      </c>
      <c r="Q13" s="41">
        <v>0</v>
      </c>
      <c r="R13" s="41">
        <v>3</v>
      </c>
      <c r="S13" s="41"/>
      <c r="T13" s="42"/>
      <c r="U13" s="32">
        <f t="shared" si="8"/>
        <v>1.8478194219447237E-6</v>
      </c>
      <c r="V13" s="163">
        <f t="shared" si="4"/>
        <v>7.073131617783032E-9</v>
      </c>
      <c r="W13" s="163">
        <f t="shared" si="17"/>
        <v>0</v>
      </c>
      <c r="X13" s="163">
        <f t="shared" si="6"/>
        <v>0</v>
      </c>
      <c r="Y13" s="163">
        <f t="shared" si="7"/>
        <v>0</v>
      </c>
      <c r="Z13" s="163">
        <f t="shared" si="18"/>
        <v>0</v>
      </c>
      <c r="AA13" s="163">
        <f t="shared" si="19"/>
        <v>0</v>
      </c>
      <c r="AB13" s="163">
        <f t="shared" si="20"/>
        <v>3.2618229806826512E-10</v>
      </c>
      <c r="AC13" s="163">
        <f t="shared" si="2"/>
        <v>0</v>
      </c>
      <c r="AD13" s="33">
        <f t="shared" si="3"/>
        <v>0</v>
      </c>
      <c r="AE13" s="37">
        <f>((Branco3!$P$10-U13)/(Branco3!$P$10))*100</f>
        <v>67.200849031573355</v>
      </c>
      <c r="AF13" s="38"/>
      <c r="AG13" s="39">
        <f t="shared" si="21"/>
        <v>95.591722397809122</v>
      </c>
      <c r="AH13" s="39">
        <f t="shared" si="22"/>
        <v>0</v>
      </c>
      <c r="AI13" s="39">
        <f t="shared" si="23"/>
        <v>0</v>
      </c>
      <c r="AJ13" s="39">
        <f t="shared" si="24"/>
        <v>0</v>
      </c>
      <c r="AK13" s="39">
        <f t="shared" si="25"/>
        <v>0</v>
      </c>
      <c r="AL13" s="39">
        <f t="shared" si="26"/>
        <v>0</v>
      </c>
      <c r="AM13" s="39">
        <f t="shared" si="27"/>
        <v>4.4082776021908723</v>
      </c>
      <c r="AN13" s="38">
        <f t="shared" si="28"/>
        <v>0</v>
      </c>
      <c r="AO13" s="38">
        <f t="shared" si="29"/>
        <v>98.486082337103653</v>
      </c>
      <c r="AP13" s="38">
        <f t="shared" si="30"/>
        <v>0</v>
      </c>
      <c r="AQ13" s="39">
        <f t="shared" si="31"/>
        <v>0</v>
      </c>
      <c r="AR13" s="39">
        <f t="shared" si="32"/>
        <v>0</v>
      </c>
      <c r="AS13" s="38">
        <f t="shared" si="33"/>
        <v>1.513917662896338</v>
      </c>
      <c r="AT13" s="38">
        <f t="shared" si="34"/>
        <v>0</v>
      </c>
      <c r="AU13" s="151">
        <f t="shared" si="35"/>
        <v>32.428148278433589</v>
      </c>
      <c r="AV13" s="151">
        <f>(((U13*3)+(V13*3)+(2*W13)+(2*X13)+(Y13)+(Z13)+(AB13)))/((Branco3!$P$10*3))*100</f>
        <v>32.926630351115719</v>
      </c>
      <c r="AW13" s="151">
        <f t="shared" si="36"/>
        <v>21.791990968324914</v>
      </c>
      <c r="AX13" s="186">
        <f t="shared" si="37"/>
        <v>0.44514442423467904</v>
      </c>
      <c r="AY13" s="23">
        <f t="shared" si="9"/>
        <v>0</v>
      </c>
      <c r="AZ13" s="23">
        <f t="shared" si="10"/>
        <v>0</v>
      </c>
      <c r="BA13" s="23">
        <f t="shared" si="11"/>
        <v>0</v>
      </c>
      <c r="BB13" s="23">
        <f t="shared" si="12"/>
        <v>0</v>
      </c>
      <c r="BC13" s="151">
        <f t="shared" si="13"/>
        <v>0</v>
      </c>
      <c r="BD13" s="39">
        <f t="shared" si="38"/>
        <v>19.052181357244262</v>
      </c>
      <c r="BE13" s="23">
        <f t="shared" si="39"/>
        <v>0</v>
      </c>
      <c r="BF13" s="3">
        <f t="shared" si="40"/>
        <v>0</v>
      </c>
      <c r="BG13" s="3">
        <f t="shared" si="41"/>
        <v>0</v>
      </c>
      <c r="BH13" s="3">
        <f t="shared" si="42"/>
        <v>0</v>
      </c>
      <c r="BI13" s="121">
        <f t="shared" si="43"/>
        <v>0</v>
      </c>
      <c r="BJ13" s="193">
        <f t="shared" si="14"/>
        <v>2.1545577151417361E-8</v>
      </c>
      <c r="BK13" s="194">
        <f t="shared" si="15"/>
        <v>0.38716194560358647</v>
      </c>
    </row>
    <row r="14" spans="2:63" x14ac:dyDescent="0.25">
      <c r="B14" s="5" t="s">
        <v>8</v>
      </c>
      <c r="C14" s="3" t="s">
        <v>16</v>
      </c>
      <c r="D14" s="29">
        <f>(38.3/33.5)*D18</f>
        <v>1.2722732422165167E-10</v>
      </c>
      <c r="E14" s="148">
        <f t="shared" si="44"/>
        <v>1.1432835820895522</v>
      </c>
      <c r="F14" s="148"/>
      <c r="G14" s="181">
        <f t="shared" si="16"/>
        <v>0.18590995034817764</v>
      </c>
      <c r="H14" s="17">
        <v>7</v>
      </c>
      <c r="I14" s="17">
        <v>90</v>
      </c>
      <c r="J14" s="40">
        <v>12094</v>
      </c>
      <c r="K14" s="41">
        <v>43</v>
      </c>
      <c r="L14" s="41"/>
      <c r="M14" s="41"/>
      <c r="N14" s="41"/>
      <c r="O14" s="41">
        <v>65053</v>
      </c>
      <c r="P14" s="41">
        <v>0</v>
      </c>
      <c r="Q14" s="41">
        <v>0</v>
      </c>
      <c r="R14" s="41">
        <v>3</v>
      </c>
      <c r="S14" s="41"/>
      <c r="T14" s="42"/>
      <c r="U14" s="32">
        <f t="shared" si="8"/>
        <v>1.8077599165992146E-6</v>
      </c>
      <c r="V14" s="163">
        <f t="shared" si="4"/>
        <v>6.7587702125482305E-9</v>
      </c>
      <c r="W14" s="163">
        <f t="shared" si="17"/>
        <v>0</v>
      </c>
      <c r="X14" s="163">
        <f t="shared" si="6"/>
        <v>0</v>
      </c>
      <c r="Y14" s="163">
        <f t="shared" si="7"/>
        <v>0</v>
      </c>
      <c r="Z14" s="163">
        <f t="shared" si="18"/>
        <v>0</v>
      </c>
      <c r="AA14" s="163">
        <f t="shared" si="19"/>
        <v>0</v>
      </c>
      <c r="AB14" s="163">
        <f t="shared" si="20"/>
        <v>3.2618229806826512E-10</v>
      </c>
      <c r="AC14" s="163">
        <f t="shared" si="2"/>
        <v>0</v>
      </c>
      <c r="AD14" s="33">
        <f t="shared" si="3"/>
        <v>0</v>
      </c>
      <c r="AE14" s="37">
        <f>((Branco3!$P$10-U14)/(Branco3!$P$10))*100</f>
        <v>67.911912974263728</v>
      </c>
      <c r="AF14" s="38"/>
      <c r="AG14" s="39">
        <f t="shared" si="21"/>
        <v>95.396125837406871</v>
      </c>
      <c r="AH14" s="39">
        <f t="shared" si="22"/>
        <v>0</v>
      </c>
      <c r="AI14" s="39">
        <f t="shared" si="23"/>
        <v>0</v>
      </c>
      <c r="AJ14" s="39">
        <f t="shared" si="24"/>
        <v>0</v>
      </c>
      <c r="AK14" s="39">
        <f t="shared" si="25"/>
        <v>0</v>
      </c>
      <c r="AL14" s="39">
        <f t="shared" si="26"/>
        <v>0</v>
      </c>
      <c r="AM14" s="39">
        <f t="shared" si="27"/>
        <v>4.6038741625931152</v>
      </c>
      <c r="AN14" s="38">
        <f t="shared" si="28"/>
        <v>0</v>
      </c>
      <c r="AO14" s="38">
        <f t="shared" si="29"/>
        <v>98.416782381209543</v>
      </c>
      <c r="AP14" s="38">
        <f t="shared" si="30"/>
        <v>0</v>
      </c>
      <c r="AQ14" s="39">
        <f t="shared" si="31"/>
        <v>0</v>
      </c>
      <c r="AR14" s="39">
        <f t="shared" si="32"/>
        <v>0</v>
      </c>
      <c r="AS14" s="38">
        <f t="shared" si="33"/>
        <v>1.583217618790449</v>
      </c>
      <c r="AT14" s="38">
        <f t="shared" si="34"/>
        <v>0</v>
      </c>
      <c r="AU14" s="151">
        <f t="shared" si="35"/>
        <v>31.700032252663426</v>
      </c>
      <c r="AV14" s="151">
        <f>(((U14*3)+(V14*3)+(2*W14)+(2*X14)+(Y14)+(Z14)+(AB14)))/((Branco3!$P$10*3))*100</f>
        <v>32.209986432878779</v>
      </c>
      <c r="AW14" s="151">
        <f t="shared" si="36"/>
        <v>21.528098316242321</v>
      </c>
      <c r="AX14" s="186">
        <f t="shared" si="37"/>
        <v>0.43975389599695114</v>
      </c>
      <c r="AY14" s="23">
        <f t="shared" si="9"/>
        <v>0</v>
      </c>
      <c r="AZ14" s="23">
        <f t="shared" si="10"/>
        <v>0</v>
      </c>
      <c r="BA14" s="23">
        <f t="shared" si="11"/>
        <v>0</v>
      </c>
      <c r="BB14" s="23">
        <f t="shared" si="12"/>
        <v>0</v>
      </c>
      <c r="BC14" s="151">
        <f t="shared" si="13"/>
        <v>0</v>
      </c>
      <c r="BD14" s="39">
        <f t="shared" si="38"/>
        <v>18.821466748669508</v>
      </c>
      <c r="BE14" s="23">
        <f t="shared" si="39"/>
        <v>0</v>
      </c>
      <c r="BF14" s="3">
        <f t="shared" si="40"/>
        <v>0</v>
      </c>
      <c r="BG14" s="3">
        <f t="shared" si="41"/>
        <v>0</v>
      </c>
      <c r="BH14" s="3">
        <f t="shared" si="42"/>
        <v>0</v>
      </c>
      <c r="BI14" s="121">
        <f t="shared" si="43"/>
        <v>0</v>
      </c>
      <c r="BJ14" s="193">
        <f t="shared" si="14"/>
        <v>2.0602492935712955E-8</v>
      </c>
      <c r="BK14" s="194">
        <f t="shared" si="15"/>
        <v>0.37845221511199528</v>
      </c>
    </row>
    <row r="15" spans="2:63" x14ac:dyDescent="0.25">
      <c r="B15" s="5" t="s">
        <v>9</v>
      </c>
      <c r="C15" s="3" t="s">
        <v>16</v>
      </c>
      <c r="D15" s="29">
        <f>(38.3/39.2)*D18</f>
        <v>1.0872743268942171E-10</v>
      </c>
      <c r="E15" s="148">
        <f t="shared" si="44"/>
        <v>0.9770408163265305</v>
      </c>
      <c r="F15" s="148"/>
      <c r="G15" s="181">
        <f t="shared" si="16"/>
        <v>0.18643077821669563</v>
      </c>
      <c r="H15" s="17">
        <v>8</v>
      </c>
      <c r="I15" s="17">
        <v>105</v>
      </c>
      <c r="J15" s="40">
        <v>12129</v>
      </c>
      <c r="K15" s="41">
        <v>44</v>
      </c>
      <c r="L15" s="41"/>
      <c r="M15" s="41"/>
      <c r="N15" s="41"/>
      <c r="O15" s="41">
        <v>65059</v>
      </c>
      <c r="P15" s="41">
        <v>0</v>
      </c>
      <c r="Q15" s="41">
        <v>0</v>
      </c>
      <c r="R15" s="41">
        <v>3</v>
      </c>
      <c r="S15" s="41"/>
      <c r="T15" s="42"/>
      <c r="U15" s="32">
        <f t="shared" si="8"/>
        <v>1.8129915684167251E-6</v>
      </c>
      <c r="V15" s="163">
        <f t="shared" si="4"/>
        <v>6.9159509151656309E-9</v>
      </c>
      <c r="W15" s="163">
        <f t="shared" si="17"/>
        <v>0</v>
      </c>
      <c r="X15" s="163">
        <f t="shared" si="6"/>
        <v>0</v>
      </c>
      <c r="Y15" s="163">
        <f t="shared" si="7"/>
        <v>0</v>
      </c>
      <c r="Z15" s="163">
        <f t="shared" si="18"/>
        <v>0</v>
      </c>
      <c r="AA15" s="163">
        <f t="shared" si="19"/>
        <v>0</v>
      </c>
      <c r="AB15" s="163">
        <f t="shared" si="20"/>
        <v>3.2618229806826512E-10</v>
      </c>
      <c r="AC15" s="163">
        <f t="shared" si="2"/>
        <v>0</v>
      </c>
      <c r="AD15" s="33">
        <f t="shared" si="3"/>
        <v>0</v>
      </c>
      <c r="AE15" s="37">
        <f>((Branco3!$P$10-U15)/(Branco3!$P$10))*100</f>
        <v>67.819050145927292</v>
      </c>
      <c r="AF15" s="38"/>
      <c r="AG15" s="39">
        <f t="shared" si="21"/>
        <v>95.496046696956398</v>
      </c>
      <c r="AH15" s="39">
        <f t="shared" si="22"/>
        <v>0</v>
      </c>
      <c r="AI15" s="39">
        <f t="shared" si="23"/>
        <v>0</v>
      </c>
      <c r="AJ15" s="39">
        <f t="shared" si="24"/>
        <v>0</v>
      </c>
      <c r="AK15" s="39">
        <f t="shared" si="25"/>
        <v>0</v>
      </c>
      <c r="AL15" s="39">
        <f t="shared" si="26"/>
        <v>0</v>
      </c>
      <c r="AM15" s="39">
        <f t="shared" si="27"/>
        <v>4.5039533030435921</v>
      </c>
      <c r="AN15" s="38">
        <f t="shared" si="28"/>
        <v>0</v>
      </c>
      <c r="AO15" s="38">
        <f t="shared" si="29"/>
        <v>98.452207669798554</v>
      </c>
      <c r="AP15" s="38">
        <f t="shared" si="30"/>
        <v>0</v>
      </c>
      <c r="AQ15" s="39">
        <f t="shared" si="31"/>
        <v>0</v>
      </c>
      <c r="AR15" s="39">
        <f t="shared" si="32"/>
        <v>0</v>
      </c>
      <c r="AS15" s="38">
        <f t="shared" si="33"/>
        <v>1.5477923302014398</v>
      </c>
      <c r="AT15" s="38">
        <f t="shared" si="34"/>
        <v>0</v>
      </c>
      <c r="AU15" s="151">
        <f t="shared" si="35"/>
        <v>31.805615042470098</v>
      </c>
      <c r="AV15" s="151">
        <f>(((U15*3)+(V15*3)+(2*W15)+(2*X15)+(Y15)+(Z15)+(AB15)))/((Branco3!$P$10*3))*100</f>
        <v>32.305639248988491</v>
      </c>
      <c r="AW15" s="151">
        <f t="shared" si="36"/>
        <v>21.57026601487339</v>
      </c>
      <c r="AX15" s="186">
        <f t="shared" si="37"/>
        <v>0.44061525446372501</v>
      </c>
      <c r="AY15" s="23">
        <f t="shared" si="9"/>
        <v>0</v>
      </c>
      <c r="AZ15" s="23">
        <f t="shared" si="10"/>
        <v>0</v>
      </c>
      <c r="BA15" s="23">
        <f t="shared" si="11"/>
        <v>0</v>
      </c>
      <c r="BB15" s="23">
        <f t="shared" si="12"/>
        <v>0</v>
      </c>
      <c r="BC15" s="151">
        <f t="shared" si="13"/>
        <v>0</v>
      </c>
      <c r="BD15" s="39">
        <f t="shared" si="38"/>
        <v>18.858332891047429</v>
      </c>
      <c r="BE15" s="23">
        <f t="shared" si="39"/>
        <v>0</v>
      </c>
      <c r="BF15" s="3">
        <f t="shared" si="40"/>
        <v>0</v>
      </c>
      <c r="BG15" s="3">
        <f t="shared" si="41"/>
        <v>0</v>
      </c>
      <c r="BH15" s="3">
        <f t="shared" si="42"/>
        <v>0</v>
      </c>
      <c r="BI15" s="121">
        <f t="shared" si="43"/>
        <v>0</v>
      </c>
      <c r="BJ15" s="193">
        <f t="shared" si="14"/>
        <v>2.1074035043565156E-8</v>
      </c>
      <c r="BK15" s="194">
        <f t="shared" si="15"/>
        <v>0.38596789233847412</v>
      </c>
    </row>
    <row r="16" spans="2:63" x14ac:dyDescent="0.25">
      <c r="B16" s="5" t="s">
        <v>12</v>
      </c>
      <c r="C16" s="3" t="s">
        <v>16</v>
      </c>
      <c r="D16" s="29">
        <v>1.2679079497666798E-10</v>
      </c>
      <c r="E16" s="148">
        <f t="shared" si="44"/>
        <v>1.1393608656295069</v>
      </c>
      <c r="F16" s="148"/>
      <c r="G16" s="181">
        <f t="shared" si="16"/>
        <v>0.18673975302559048</v>
      </c>
      <c r="H16" s="84">
        <v>9</v>
      </c>
      <c r="I16" s="84">
        <v>120</v>
      </c>
      <c r="J16" s="85">
        <v>12128</v>
      </c>
      <c r="K16" s="86">
        <v>44</v>
      </c>
      <c r="L16" s="86"/>
      <c r="M16" s="86"/>
      <c r="N16" s="86"/>
      <c r="O16" s="86">
        <v>64946</v>
      </c>
      <c r="P16" s="86">
        <v>0</v>
      </c>
      <c r="Q16" s="86">
        <v>0</v>
      </c>
      <c r="R16" s="86">
        <v>3</v>
      </c>
      <c r="S16" s="86"/>
      <c r="T16" s="87"/>
      <c r="U16" s="88">
        <f t="shared" si="8"/>
        <v>1.8128420926505105E-6</v>
      </c>
      <c r="V16" s="164">
        <f t="shared" si="4"/>
        <v>6.9159509151656309E-9</v>
      </c>
      <c r="W16" s="164">
        <f t="shared" si="17"/>
        <v>0</v>
      </c>
      <c r="X16" s="164">
        <f t="shared" si="6"/>
        <v>0</v>
      </c>
      <c r="Y16" s="164">
        <f t="shared" si="7"/>
        <v>0</v>
      </c>
      <c r="Z16" s="163">
        <f t="shared" si="18"/>
        <v>0</v>
      </c>
      <c r="AA16" s="164">
        <f t="shared" si="19"/>
        <v>0</v>
      </c>
      <c r="AB16" s="163">
        <f t="shared" si="20"/>
        <v>3.2618229806826512E-10</v>
      </c>
      <c r="AC16" s="164">
        <f t="shared" si="2"/>
        <v>0</v>
      </c>
      <c r="AD16" s="89">
        <f t="shared" si="3"/>
        <v>0</v>
      </c>
      <c r="AE16" s="90">
        <f>((Branco3!$P$10-U16)/(Branco3!$P$10))*100</f>
        <v>67.821703369594061</v>
      </c>
      <c r="AF16" s="91"/>
      <c r="AG16" s="92">
        <f t="shared" si="21"/>
        <v>95.496046696956398</v>
      </c>
      <c r="AH16" s="92">
        <f t="shared" si="22"/>
        <v>0</v>
      </c>
      <c r="AI16" s="92">
        <f t="shared" si="23"/>
        <v>0</v>
      </c>
      <c r="AJ16" s="92">
        <f t="shared" si="24"/>
        <v>0</v>
      </c>
      <c r="AK16" s="92">
        <f t="shared" si="25"/>
        <v>0</v>
      </c>
      <c r="AL16" s="92">
        <f t="shared" si="26"/>
        <v>0</v>
      </c>
      <c r="AM16" s="92">
        <f t="shared" si="27"/>
        <v>4.5039533030435921</v>
      </c>
      <c r="AN16" s="91">
        <f t="shared" si="28"/>
        <v>0</v>
      </c>
      <c r="AO16" s="91">
        <f t="shared" si="29"/>
        <v>98.452207669798554</v>
      </c>
      <c r="AP16" s="91">
        <f t="shared" si="30"/>
        <v>0</v>
      </c>
      <c r="AQ16" s="92">
        <f t="shared" si="31"/>
        <v>0</v>
      </c>
      <c r="AR16" s="92">
        <f t="shared" si="32"/>
        <v>0</v>
      </c>
      <c r="AS16" s="91">
        <f t="shared" si="33"/>
        <v>1.5477923302014398</v>
      </c>
      <c r="AT16" s="91">
        <f t="shared" si="34"/>
        <v>0</v>
      </c>
      <c r="AU16" s="151">
        <f t="shared" si="35"/>
        <v>31.80300288519576</v>
      </c>
      <c r="AV16" s="101">
        <f>(((U16*3)+(V16*3)+(2*W16)+(2*X16)+(Y16)+(Z16)+(AB16)))/((Branco3!$P$10*3))*100</f>
        <v>32.302986025321736</v>
      </c>
      <c r="AW16" s="151">
        <f t="shared" si="36"/>
        <v>21.569338279420908</v>
      </c>
      <c r="AX16" s="191">
        <f t="shared" si="37"/>
        <v>0.4405963036361279</v>
      </c>
      <c r="AY16" s="93">
        <f t="shared" si="9"/>
        <v>0</v>
      </c>
      <c r="AZ16" s="93">
        <f t="shared" si="10"/>
        <v>0</v>
      </c>
      <c r="BA16" s="93">
        <f t="shared" si="11"/>
        <v>0</v>
      </c>
      <c r="BB16" s="93">
        <f t="shared" si="12"/>
        <v>0</v>
      </c>
      <c r="BC16" s="101">
        <f t="shared" si="13"/>
        <v>0</v>
      </c>
      <c r="BD16" s="92">
        <f t="shared" si="38"/>
        <v>18.857521795626273</v>
      </c>
      <c r="BE16" s="93">
        <f t="shared" si="39"/>
        <v>0</v>
      </c>
      <c r="BF16" s="189">
        <f t="shared" si="40"/>
        <v>0</v>
      </c>
      <c r="BG16" s="189">
        <f t="shared" si="41"/>
        <v>0</v>
      </c>
      <c r="BH16" s="189">
        <f t="shared" si="42"/>
        <v>0</v>
      </c>
      <c r="BI16" s="190">
        <f t="shared" si="43"/>
        <v>0</v>
      </c>
      <c r="BJ16" s="193">
        <f t="shared" si="14"/>
        <v>2.1074035043565156E-8</v>
      </c>
      <c r="BK16" s="194">
        <f t="shared" si="15"/>
        <v>0.38599959402530137</v>
      </c>
    </row>
    <row r="17" spans="2:63" x14ac:dyDescent="0.25">
      <c r="B17" s="5" t="s">
        <v>68</v>
      </c>
      <c r="C17" s="3" t="s">
        <v>16</v>
      </c>
      <c r="D17" s="29">
        <f>D14*0.6875</f>
        <v>8.7468785402385524E-11</v>
      </c>
      <c r="E17" s="148">
        <f t="shared" si="44"/>
        <v>0.78600746268656707</v>
      </c>
      <c r="F17" s="148"/>
      <c r="G17" s="181">
        <f t="shared" si="16"/>
        <v>0.18805102087917161</v>
      </c>
      <c r="H17" s="17">
        <v>10</v>
      </c>
      <c r="I17" s="17">
        <v>135</v>
      </c>
      <c r="J17" s="40">
        <v>12222</v>
      </c>
      <c r="K17" s="41">
        <v>45</v>
      </c>
      <c r="L17" s="41"/>
      <c r="M17" s="41"/>
      <c r="N17" s="41"/>
      <c r="O17" s="41">
        <v>64993</v>
      </c>
      <c r="P17" s="41">
        <v>0</v>
      </c>
      <c r="Q17" s="41">
        <v>0</v>
      </c>
      <c r="R17" s="41">
        <v>3</v>
      </c>
      <c r="S17" s="41"/>
      <c r="T17" s="42"/>
      <c r="U17" s="32">
        <f t="shared" si="8"/>
        <v>1.8268928146746817E-6</v>
      </c>
      <c r="V17" s="163">
        <f t="shared" si="4"/>
        <v>7.073131617783032E-9</v>
      </c>
      <c r="W17" s="163">
        <f t="shared" si="17"/>
        <v>0</v>
      </c>
      <c r="X17" s="163">
        <f t="shared" si="6"/>
        <v>0</v>
      </c>
      <c r="Y17" s="163">
        <f t="shared" si="7"/>
        <v>0</v>
      </c>
      <c r="Z17" s="163">
        <f t="shared" si="18"/>
        <v>0</v>
      </c>
      <c r="AA17" s="163">
        <f t="shared" si="19"/>
        <v>0</v>
      </c>
      <c r="AB17" s="163">
        <f t="shared" si="20"/>
        <v>3.2618229806826512E-10</v>
      </c>
      <c r="AC17" s="163">
        <f t="shared" si="2"/>
        <v>0</v>
      </c>
      <c r="AD17" s="33">
        <f t="shared" si="3"/>
        <v>0</v>
      </c>
      <c r="AE17" s="37">
        <f>((Branco3!$P$10-U17)/(Branco3!$P$10))*100</f>
        <v>67.572300344919071</v>
      </c>
      <c r="AF17" s="38"/>
      <c r="AG17" s="39">
        <f t="shared" si="21"/>
        <v>95.591722397809122</v>
      </c>
      <c r="AH17" s="39">
        <f t="shared" si="22"/>
        <v>0</v>
      </c>
      <c r="AI17" s="39">
        <f t="shared" si="23"/>
        <v>0</v>
      </c>
      <c r="AJ17" s="39">
        <f t="shared" si="24"/>
        <v>0</v>
      </c>
      <c r="AK17" s="39">
        <f t="shared" si="25"/>
        <v>0</v>
      </c>
      <c r="AL17" s="39">
        <f t="shared" si="26"/>
        <v>0</v>
      </c>
      <c r="AM17" s="39">
        <f t="shared" si="27"/>
        <v>4.4082776021908723</v>
      </c>
      <c r="AN17" s="38">
        <f t="shared" si="28"/>
        <v>0</v>
      </c>
      <c r="AO17" s="38">
        <f t="shared" si="29"/>
        <v>98.486082337103653</v>
      </c>
      <c r="AP17" s="38">
        <f t="shared" si="30"/>
        <v>0</v>
      </c>
      <c r="AQ17" s="39">
        <f t="shared" si="31"/>
        <v>0</v>
      </c>
      <c r="AR17" s="39">
        <f t="shared" si="32"/>
        <v>0</v>
      </c>
      <c r="AS17" s="38">
        <f t="shared" si="33"/>
        <v>1.513917662896338</v>
      </c>
      <c r="AT17" s="38">
        <f t="shared" si="34"/>
        <v>0</v>
      </c>
      <c r="AU17" s="151">
        <f t="shared" si="35"/>
        <v>32.062320432129674</v>
      </c>
      <c r="AV17" s="151">
        <f>(((U17*3)+(V17*3)+(2*W17)+(2*X17)+(Y17)+(Z17)+(AB17)))/((Branco3!$P$10*3))*100</f>
        <v>32.555179037770003</v>
      </c>
      <c r="AW17" s="151">
        <f t="shared" si="36"/>
        <v>21.665247459949018</v>
      </c>
      <c r="AX17" s="186">
        <f t="shared" si="37"/>
        <v>0.44255543793491975</v>
      </c>
      <c r="AY17" s="23">
        <f t="shared" si="9"/>
        <v>0</v>
      </c>
      <c r="AZ17" s="23">
        <f t="shared" si="10"/>
        <v>0</v>
      </c>
      <c r="BA17" s="23">
        <f t="shared" si="11"/>
        <v>0</v>
      </c>
      <c r="BB17" s="23">
        <f t="shared" si="12"/>
        <v>0</v>
      </c>
      <c r="BC17" s="151">
        <f t="shared" si="13"/>
        <v>0</v>
      </c>
      <c r="BD17" s="39">
        <f t="shared" si="38"/>
        <v>18.941372743614565</v>
      </c>
      <c r="BE17" s="23">
        <f t="shared" si="39"/>
        <v>0</v>
      </c>
      <c r="BF17" s="3">
        <f t="shared" si="40"/>
        <v>0</v>
      </c>
      <c r="BG17" s="3">
        <f t="shared" si="41"/>
        <v>0</v>
      </c>
      <c r="BH17" s="3">
        <f t="shared" si="42"/>
        <v>0</v>
      </c>
      <c r="BI17" s="121">
        <f t="shared" si="43"/>
        <v>0</v>
      </c>
      <c r="BJ17" s="193"/>
      <c r="BK17" s="194"/>
    </row>
    <row r="18" spans="2:63" x14ac:dyDescent="0.25">
      <c r="B18" s="5" t="s">
        <v>13</v>
      </c>
      <c r="C18" s="3" t="s">
        <v>16</v>
      </c>
      <c r="D18" s="29">
        <v>1.1128238541580499E-10</v>
      </c>
      <c r="E18" s="148">
        <f t="shared" si="44"/>
        <v>1</v>
      </c>
      <c r="F18" s="148"/>
      <c r="G18" s="181">
        <f t="shared" si="16"/>
        <v>0.18662820139027422</v>
      </c>
      <c r="H18" s="17">
        <v>11</v>
      </c>
      <c r="I18" s="17">
        <v>150</v>
      </c>
      <c r="J18" s="40">
        <v>12162</v>
      </c>
      <c r="K18" s="41">
        <v>45</v>
      </c>
      <c r="L18" s="41"/>
      <c r="M18" s="41"/>
      <c r="N18" s="41"/>
      <c r="O18" s="41">
        <v>65167</v>
      </c>
      <c r="P18" s="41">
        <v>0</v>
      </c>
      <c r="Q18" s="41">
        <v>0</v>
      </c>
      <c r="R18" s="41">
        <v>3</v>
      </c>
      <c r="S18" s="41"/>
      <c r="T18" s="42"/>
      <c r="U18" s="32">
        <f t="shared" si="8"/>
        <v>1.8179242687018063E-6</v>
      </c>
      <c r="V18" s="163">
        <f t="shared" si="4"/>
        <v>7.073131617783032E-9</v>
      </c>
      <c r="W18" s="163">
        <f t="shared" si="17"/>
        <v>0</v>
      </c>
      <c r="X18" s="163">
        <f t="shared" si="6"/>
        <v>0</v>
      </c>
      <c r="Y18" s="163">
        <f t="shared" si="7"/>
        <v>0</v>
      </c>
      <c r="Z18" s="163">
        <f t="shared" si="18"/>
        <v>0</v>
      </c>
      <c r="AA18" s="163">
        <f t="shared" si="19"/>
        <v>0</v>
      </c>
      <c r="AB18" s="163">
        <f t="shared" si="20"/>
        <v>3.2618229806826512E-10</v>
      </c>
      <c r="AC18" s="163">
        <f t="shared" si="2"/>
        <v>0</v>
      </c>
      <c r="AD18" s="33">
        <f t="shared" si="3"/>
        <v>0</v>
      </c>
      <c r="AE18" s="37">
        <f>((Branco3!$P$10-U18)/(Branco3!$P$10))*100</f>
        <v>67.731493764924394</v>
      </c>
      <c r="AF18" s="38"/>
      <c r="AG18" s="39">
        <f t="shared" si="21"/>
        <v>95.591722397809122</v>
      </c>
      <c r="AH18" s="39">
        <f t="shared" si="22"/>
        <v>0</v>
      </c>
      <c r="AI18" s="39">
        <f t="shared" si="23"/>
        <v>0</v>
      </c>
      <c r="AJ18" s="39">
        <f t="shared" si="24"/>
        <v>0</v>
      </c>
      <c r="AK18" s="39">
        <f t="shared" si="25"/>
        <v>0</v>
      </c>
      <c r="AL18" s="39">
        <f t="shared" si="26"/>
        <v>0</v>
      </c>
      <c r="AM18" s="39">
        <f t="shared" si="27"/>
        <v>4.4082776021908723</v>
      </c>
      <c r="AN18" s="38">
        <f t="shared" si="28"/>
        <v>0</v>
      </c>
      <c r="AO18" s="38">
        <f t="shared" si="29"/>
        <v>98.486082337103653</v>
      </c>
      <c r="AP18" s="38">
        <f t="shared" si="30"/>
        <v>0</v>
      </c>
      <c r="AQ18" s="39">
        <f t="shared" si="31"/>
        <v>0</v>
      </c>
      <c r="AR18" s="39">
        <f t="shared" si="32"/>
        <v>0</v>
      </c>
      <c r="AS18" s="38">
        <f t="shared" si="33"/>
        <v>1.513917662896338</v>
      </c>
      <c r="AT18" s="38">
        <f t="shared" si="34"/>
        <v>0</v>
      </c>
      <c r="AU18" s="151">
        <f t="shared" si="35"/>
        <v>31.905537069428</v>
      </c>
      <c r="AV18" s="151">
        <f>(((U18*3)+(V18*3)+(2*W18)+(2*X18)+(Y18)+(Z18)+(AB18)))/((Branco3!$P$10*3))*100</f>
        <v>32.395985617764701</v>
      </c>
      <c r="AW18" s="151">
        <f t="shared" si="36"/>
        <v>21.610096850845267</v>
      </c>
      <c r="AX18" s="186">
        <f t="shared" si="37"/>
        <v>0.44142887789864932</v>
      </c>
      <c r="AY18" s="23">
        <f t="shared" si="9"/>
        <v>0</v>
      </c>
      <c r="AZ18" s="23">
        <f t="shared" si="10"/>
        <v>0</v>
      </c>
      <c r="BA18" s="23">
        <f t="shared" si="11"/>
        <v>0</v>
      </c>
      <c r="BB18" s="23">
        <f t="shared" si="12"/>
        <v>0</v>
      </c>
      <c r="BC18" s="151">
        <f t="shared" ref="BC18:BC32" si="45">(AN18/100)*(($AE18/100)*($C$26))/($C$5/1000)</f>
        <v>0</v>
      </c>
      <c r="BD18" s="39">
        <f t="shared" si="38"/>
        <v>18.893155974062189</v>
      </c>
      <c r="BE18" s="23">
        <f t="shared" si="39"/>
        <v>0</v>
      </c>
      <c r="BF18" s="3">
        <f t="shared" si="40"/>
        <v>0</v>
      </c>
      <c r="BG18" s="3">
        <f t="shared" si="41"/>
        <v>0</v>
      </c>
      <c r="BH18" s="3">
        <f t="shared" si="42"/>
        <v>0</v>
      </c>
      <c r="BI18" s="121">
        <f t="shared" si="43"/>
        <v>0</v>
      </c>
      <c r="BJ18" s="193">
        <f t="shared" ref="BJ18:BJ32" si="46">V18*3+W18*2+X18*2+Y18+Z18+AB18</f>
        <v>2.1545577151417361E-8</v>
      </c>
      <c r="BK18" s="194">
        <f t="shared" ref="BK18:BK32" si="47">(BJ18/((3*U18)+BJ18))*100</f>
        <v>0.39350364021391554</v>
      </c>
    </row>
    <row r="19" spans="2:63" ht="15.75" thickBot="1" x14ac:dyDescent="0.3">
      <c r="B19" s="6" t="s">
        <v>11</v>
      </c>
      <c r="C19" s="7" t="s">
        <v>17</v>
      </c>
      <c r="D19" s="30">
        <f>0.00000000010002884</f>
        <v>1.0002884E-10</v>
      </c>
      <c r="E19" s="148">
        <f t="shared" si="44"/>
        <v>0.89887397386606804</v>
      </c>
      <c r="F19" s="148"/>
      <c r="G19" s="181">
        <f t="shared" si="16"/>
        <v>0.18259521836540527</v>
      </c>
      <c r="H19" s="17">
        <v>12</v>
      </c>
      <c r="I19" s="17">
        <v>165</v>
      </c>
      <c r="J19" s="40">
        <v>11899</v>
      </c>
      <c r="K19" s="41">
        <v>44</v>
      </c>
      <c r="L19" s="41"/>
      <c r="M19" s="41"/>
      <c r="N19" s="41"/>
      <c r="O19" s="41">
        <v>65166</v>
      </c>
      <c r="P19" s="41">
        <v>0</v>
      </c>
      <c r="Q19" s="41">
        <v>0</v>
      </c>
      <c r="R19" s="41">
        <v>3</v>
      </c>
      <c r="S19" s="41"/>
      <c r="T19" s="42"/>
      <c r="U19" s="32">
        <f t="shared" si="8"/>
        <v>1.77861214218737E-6</v>
      </c>
      <c r="V19" s="163">
        <f t="shared" si="4"/>
        <v>6.9159509151656309E-9</v>
      </c>
      <c r="W19" s="163">
        <f t="shared" si="17"/>
        <v>0</v>
      </c>
      <c r="X19" s="163">
        <f t="shared" si="6"/>
        <v>0</v>
      </c>
      <c r="Y19" s="163">
        <f t="shared" si="7"/>
        <v>0</v>
      </c>
      <c r="Z19" s="163">
        <f t="shared" si="18"/>
        <v>0</v>
      </c>
      <c r="AA19" s="163">
        <f t="shared" si="19"/>
        <v>0</v>
      </c>
      <c r="AB19" s="163">
        <f t="shared" si="20"/>
        <v>3.2618229806826512E-10</v>
      </c>
      <c r="AC19" s="163">
        <f t="shared" si="2"/>
        <v>0</v>
      </c>
      <c r="AD19" s="33">
        <f t="shared" si="3"/>
        <v>0</v>
      </c>
      <c r="AE19" s="37">
        <f>((Branco3!$P$10-U19)/(Branco3!$P$10))*100</f>
        <v>68.429291589280979</v>
      </c>
      <c r="AF19" s="38"/>
      <c r="AG19" s="39">
        <f t="shared" si="21"/>
        <v>95.496046696956398</v>
      </c>
      <c r="AH19" s="39">
        <f t="shared" si="22"/>
        <v>0</v>
      </c>
      <c r="AI19" s="39">
        <f t="shared" si="23"/>
        <v>0</v>
      </c>
      <c r="AJ19" s="39">
        <f t="shared" si="24"/>
        <v>0</v>
      </c>
      <c r="AK19" s="39">
        <f t="shared" si="25"/>
        <v>0</v>
      </c>
      <c r="AL19" s="39">
        <f t="shared" si="26"/>
        <v>0</v>
      </c>
      <c r="AM19" s="39">
        <f t="shared" si="27"/>
        <v>4.5039533030435921</v>
      </c>
      <c r="AN19" s="38">
        <f t="shared" si="28"/>
        <v>0</v>
      </c>
      <c r="AO19" s="38">
        <f t="shared" si="29"/>
        <v>98.452207669798554</v>
      </c>
      <c r="AP19" s="38">
        <f t="shared" si="30"/>
        <v>0</v>
      </c>
      <c r="AQ19" s="39">
        <f t="shared" si="31"/>
        <v>0</v>
      </c>
      <c r="AR19" s="39">
        <f t="shared" si="32"/>
        <v>0</v>
      </c>
      <c r="AS19" s="38">
        <f t="shared" si="33"/>
        <v>1.5477923302014398</v>
      </c>
      <c r="AT19" s="38">
        <f t="shared" si="34"/>
        <v>0</v>
      </c>
      <c r="AU19" s="151">
        <f t="shared" si="35"/>
        <v>31.204818869372367</v>
      </c>
      <c r="AV19" s="151">
        <f>(((U19*3)+(V19*3)+(2*W19)+(2*X19)+(Y19)+(Z19)+(AB19)))/((Branco3!$P$10*3))*100</f>
        <v>31.695397805634819</v>
      </c>
      <c r="AW19" s="151">
        <f t="shared" si="36"/>
        <v>21.353236494029787</v>
      </c>
      <c r="AX19" s="186">
        <f t="shared" si="37"/>
        <v>0.43618199817070075</v>
      </c>
      <c r="AY19" s="23">
        <f t="shared" si="9"/>
        <v>0</v>
      </c>
      <c r="AZ19" s="23">
        <f t="shared" si="10"/>
        <v>0</v>
      </c>
      <c r="BA19" s="23">
        <f t="shared" si="11"/>
        <v>0</v>
      </c>
      <c r="BB19" s="23">
        <f t="shared" si="12"/>
        <v>0</v>
      </c>
      <c r="BC19" s="151">
        <f t="shared" si="45"/>
        <v>0</v>
      </c>
      <c r="BD19" s="39">
        <f t="shared" si="38"/>
        <v>18.668589521705989</v>
      </c>
      <c r="BE19" s="23">
        <f t="shared" si="39"/>
        <v>0</v>
      </c>
      <c r="BF19" s="3">
        <f t="shared" si="40"/>
        <v>0</v>
      </c>
      <c r="BG19" s="3">
        <f t="shared" si="41"/>
        <v>0</v>
      </c>
      <c r="BH19" s="3">
        <f t="shared" si="42"/>
        <v>0</v>
      </c>
      <c r="BI19" s="121">
        <f t="shared" si="43"/>
        <v>0</v>
      </c>
      <c r="BJ19" s="193">
        <f t="shared" si="46"/>
        <v>2.1074035043565156E-8</v>
      </c>
      <c r="BK19" s="194">
        <f t="shared" si="47"/>
        <v>0.39339905332762359</v>
      </c>
    </row>
    <row r="20" spans="2:63" ht="15.75" thickBot="1" x14ac:dyDescent="0.3">
      <c r="B20" s="5"/>
      <c r="C20" s="3"/>
      <c r="G20" s="181">
        <f t="shared" si="16"/>
        <v>0.18472725041418667</v>
      </c>
      <c r="H20" s="84">
        <v>13</v>
      </c>
      <c r="I20" s="84">
        <v>180</v>
      </c>
      <c r="J20" s="85">
        <v>12042</v>
      </c>
      <c r="K20" s="86">
        <v>45</v>
      </c>
      <c r="L20" s="86"/>
      <c r="M20" s="86"/>
      <c r="N20" s="86"/>
      <c r="O20" s="86">
        <v>65188</v>
      </c>
      <c r="P20" s="86">
        <v>0</v>
      </c>
      <c r="Q20" s="86">
        <v>0</v>
      </c>
      <c r="R20" s="86">
        <v>3</v>
      </c>
      <c r="S20" s="86"/>
      <c r="T20" s="87"/>
      <c r="U20" s="88">
        <f t="shared" si="8"/>
        <v>1.7999871767560561E-6</v>
      </c>
      <c r="V20" s="164">
        <f t="shared" si="4"/>
        <v>7.073131617783032E-9</v>
      </c>
      <c r="W20" s="164">
        <f t="shared" si="17"/>
        <v>0</v>
      </c>
      <c r="X20" s="164">
        <f t="shared" si="6"/>
        <v>0</v>
      </c>
      <c r="Y20" s="164">
        <f t="shared" si="7"/>
        <v>0</v>
      </c>
      <c r="Z20" s="163">
        <f t="shared" si="18"/>
        <v>0</v>
      </c>
      <c r="AA20" s="164">
        <f t="shared" si="19"/>
        <v>0</v>
      </c>
      <c r="AB20" s="163">
        <f t="shared" si="20"/>
        <v>3.2618229806826512E-10</v>
      </c>
      <c r="AC20" s="164">
        <f t="shared" si="2"/>
        <v>0</v>
      </c>
      <c r="AD20" s="89">
        <f t="shared" si="3"/>
        <v>0</v>
      </c>
      <c r="AE20" s="90">
        <f>((Branco3!$P$10-U20)/(Branco3!$P$10))*100</f>
        <v>68.049880604934984</v>
      </c>
      <c r="AF20" s="91"/>
      <c r="AG20" s="92">
        <f t="shared" si="21"/>
        <v>95.591722397809122</v>
      </c>
      <c r="AH20" s="92">
        <f t="shared" si="22"/>
        <v>0</v>
      </c>
      <c r="AI20" s="92">
        <f t="shared" si="23"/>
        <v>0</v>
      </c>
      <c r="AJ20" s="92">
        <f t="shared" si="24"/>
        <v>0</v>
      </c>
      <c r="AK20" s="92">
        <f t="shared" si="25"/>
        <v>0</v>
      </c>
      <c r="AL20" s="92">
        <f t="shared" si="26"/>
        <v>0</v>
      </c>
      <c r="AM20" s="92">
        <f t="shared" si="27"/>
        <v>4.4082776021908723</v>
      </c>
      <c r="AN20" s="91">
        <f t="shared" si="28"/>
        <v>0</v>
      </c>
      <c r="AO20" s="91">
        <f t="shared" si="29"/>
        <v>98.486082337103653</v>
      </c>
      <c r="AP20" s="91">
        <f t="shared" si="30"/>
        <v>0</v>
      </c>
      <c r="AQ20" s="92">
        <f t="shared" si="31"/>
        <v>0</v>
      </c>
      <c r="AR20" s="92">
        <f t="shared" si="32"/>
        <v>0</v>
      </c>
      <c r="AS20" s="91">
        <f t="shared" si="33"/>
        <v>1.513917662896338</v>
      </c>
      <c r="AT20" s="91">
        <f t="shared" si="34"/>
        <v>0</v>
      </c>
      <c r="AU20" s="151">
        <f t="shared" si="35"/>
        <v>31.591970344024638</v>
      </c>
      <c r="AV20" s="101">
        <f>(((U20*3)+(V20*3)+(2*W20)+(2*X20)+(Y20)+(Z20)+(AB20)))/((Branco3!$P$10*3))*100</f>
        <v>32.077598777754083</v>
      </c>
      <c r="AW20" s="151">
        <f t="shared" si="36"/>
        <v>21.498298099855234</v>
      </c>
      <c r="AX20" s="191">
        <f t="shared" si="37"/>
        <v>0.43914516776349227</v>
      </c>
      <c r="AY20" s="93">
        <f t="shared" si="9"/>
        <v>0</v>
      </c>
      <c r="AZ20" s="93">
        <f t="shared" si="10"/>
        <v>0</v>
      </c>
      <c r="BA20" s="93">
        <f t="shared" si="11"/>
        <v>0</v>
      </c>
      <c r="BB20" s="93">
        <f t="shared" si="12"/>
        <v>0</v>
      </c>
      <c r="BC20" s="101">
        <f t="shared" si="45"/>
        <v>0</v>
      </c>
      <c r="BD20" s="92">
        <f t="shared" si="38"/>
        <v>18.795413180277468</v>
      </c>
      <c r="BE20" s="93">
        <f t="shared" si="39"/>
        <v>0</v>
      </c>
      <c r="BF20" s="189">
        <f t="shared" si="40"/>
        <v>0</v>
      </c>
      <c r="BG20" s="189">
        <f t="shared" si="41"/>
        <v>0</v>
      </c>
      <c r="BH20" s="189">
        <f t="shared" si="42"/>
        <v>0</v>
      </c>
      <c r="BI20" s="190">
        <f t="shared" si="43"/>
        <v>0</v>
      </c>
      <c r="BJ20" s="193">
        <f t="shared" si="46"/>
        <v>2.1545577151417361E-8</v>
      </c>
      <c r="BK20" s="194">
        <f t="shared" si="47"/>
        <v>0.39740936836421797</v>
      </c>
    </row>
    <row r="21" spans="2:63" x14ac:dyDescent="0.25">
      <c r="B21" s="224" t="s">
        <v>20</v>
      </c>
      <c r="C21" s="24">
        <v>10</v>
      </c>
      <c r="D21" s="13" t="s">
        <v>21</v>
      </c>
      <c r="G21" s="181">
        <f t="shared" si="16"/>
        <v>0.18430480173434402</v>
      </c>
      <c r="H21" s="17">
        <v>14</v>
      </c>
      <c r="I21" s="17">
        <v>195</v>
      </c>
      <c r="J21" s="40">
        <v>11987</v>
      </c>
      <c r="K21" s="41">
        <v>46</v>
      </c>
      <c r="L21" s="41"/>
      <c r="M21" s="41"/>
      <c r="N21" s="41"/>
      <c r="O21" s="41">
        <v>65039</v>
      </c>
      <c r="P21" s="41">
        <v>0</v>
      </c>
      <c r="Q21" s="41">
        <v>0</v>
      </c>
      <c r="R21" s="41">
        <v>3</v>
      </c>
      <c r="S21" s="41"/>
      <c r="T21" s="42"/>
      <c r="U21" s="32">
        <f t="shared" si="8"/>
        <v>1.7917660096142537E-6</v>
      </c>
      <c r="V21" s="163">
        <f t="shared" si="4"/>
        <v>7.2303123204004324E-9</v>
      </c>
      <c r="W21" s="163">
        <f t="shared" si="17"/>
        <v>0</v>
      </c>
      <c r="X21" s="163">
        <f t="shared" si="6"/>
        <v>0</v>
      </c>
      <c r="Y21" s="163">
        <f t="shared" si="7"/>
        <v>0</v>
      </c>
      <c r="Z21" s="163">
        <f t="shared" si="18"/>
        <v>0</v>
      </c>
      <c r="AA21" s="163">
        <f t="shared" si="19"/>
        <v>0</v>
      </c>
      <c r="AB21" s="163">
        <f t="shared" si="20"/>
        <v>3.2618229806826512E-10</v>
      </c>
      <c r="AC21" s="163">
        <f t="shared" si="2"/>
        <v>0</v>
      </c>
      <c r="AD21" s="33">
        <f t="shared" si="3"/>
        <v>0</v>
      </c>
      <c r="AE21" s="37">
        <f>((Branco3!$P$10-U21)/(Branco3!$P$10))*100</f>
        <v>68.195807906606518</v>
      </c>
      <c r="AF21" s="38"/>
      <c r="AG21" s="39">
        <f t="shared" si="21"/>
        <v>95.683417847330318</v>
      </c>
      <c r="AH21" s="39">
        <f t="shared" si="22"/>
        <v>0</v>
      </c>
      <c r="AI21" s="39">
        <f t="shared" si="23"/>
        <v>0</v>
      </c>
      <c r="AJ21" s="39">
        <f t="shared" si="24"/>
        <v>0</v>
      </c>
      <c r="AK21" s="39">
        <f t="shared" si="25"/>
        <v>0</v>
      </c>
      <c r="AL21" s="39">
        <f t="shared" si="26"/>
        <v>0</v>
      </c>
      <c r="AM21" s="39">
        <f t="shared" si="27"/>
        <v>4.316582152669687</v>
      </c>
      <c r="AN21" s="38">
        <f t="shared" si="28"/>
        <v>0</v>
      </c>
      <c r="AO21" s="38">
        <f t="shared" si="29"/>
        <v>98.518506012402426</v>
      </c>
      <c r="AP21" s="38">
        <f t="shared" si="30"/>
        <v>0</v>
      </c>
      <c r="AQ21" s="39">
        <f t="shared" si="31"/>
        <v>0</v>
      </c>
      <c r="AR21" s="39">
        <f t="shared" si="32"/>
        <v>0</v>
      </c>
      <c r="AS21" s="38">
        <f t="shared" si="33"/>
        <v>1.4814939875975697</v>
      </c>
      <c r="AT21" s="38">
        <f t="shared" si="34"/>
        <v>0</v>
      </c>
      <c r="AU21" s="151">
        <f t="shared" si="35"/>
        <v>31.461354337297156</v>
      </c>
      <c r="AV21" s="151">
        <f>(((U21*3)+(V21*3)+(2*W21)+(2*X21)+(Y21)+(Z21)+(AB21)))/((Branco3!$P$10*3))*100</f>
        <v>31.934461463855847</v>
      </c>
      <c r="AW21" s="151">
        <f t="shared" si="36"/>
        <v>21.455324768679983</v>
      </c>
      <c r="AX21" s="186">
        <f t="shared" si="37"/>
        <v>0.43826735266200573</v>
      </c>
      <c r="AY21" s="23">
        <f t="shared" si="9"/>
        <v>0</v>
      </c>
      <c r="AZ21" s="23">
        <f t="shared" si="10"/>
        <v>0</v>
      </c>
      <c r="BA21" s="23">
        <f t="shared" si="11"/>
        <v>0</v>
      </c>
      <c r="BB21" s="23">
        <f t="shared" si="12"/>
        <v>0</v>
      </c>
      <c r="BC21" s="151">
        <f t="shared" si="45"/>
        <v>0</v>
      </c>
      <c r="BD21" s="39">
        <f t="shared" si="38"/>
        <v>18.757842693933846</v>
      </c>
      <c r="BE21" s="23">
        <f t="shared" si="39"/>
        <v>0</v>
      </c>
      <c r="BF21" s="3">
        <f t="shared" si="40"/>
        <v>0</v>
      </c>
      <c r="BG21" s="3">
        <f t="shared" si="41"/>
        <v>0</v>
      </c>
      <c r="BH21" s="3">
        <f t="shared" si="42"/>
        <v>0</v>
      </c>
      <c r="BI21" s="121">
        <f t="shared" si="43"/>
        <v>0</v>
      </c>
      <c r="BJ21" s="193">
        <f t="shared" si="46"/>
        <v>2.2017119259269562E-8</v>
      </c>
      <c r="BK21" s="194">
        <f t="shared" si="47"/>
        <v>0.40792725003304453</v>
      </c>
    </row>
    <row r="22" spans="2:63" x14ac:dyDescent="0.25">
      <c r="B22" s="229"/>
      <c r="C22" s="23">
        <f>(C21/1000)*60</f>
        <v>0.6</v>
      </c>
      <c r="D22" s="14" t="s">
        <v>22</v>
      </c>
      <c r="G22" s="181">
        <f t="shared" si="16"/>
        <v>0.1852798128424552</v>
      </c>
      <c r="H22" s="17">
        <v>15</v>
      </c>
      <c r="I22" s="17">
        <v>210</v>
      </c>
      <c r="J22" s="40">
        <v>12038</v>
      </c>
      <c r="K22" s="41">
        <v>47</v>
      </c>
      <c r="L22" s="41"/>
      <c r="M22" s="41"/>
      <c r="N22" s="41"/>
      <c r="O22" s="41">
        <v>64972</v>
      </c>
      <c r="P22" s="41">
        <v>0</v>
      </c>
      <c r="Q22" s="41">
        <v>0</v>
      </c>
      <c r="R22" s="41">
        <v>3</v>
      </c>
      <c r="S22" s="41"/>
      <c r="T22" s="42"/>
      <c r="U22" s="32">
        <f t="shared" si="8"/>
        <v>1.7993892736911976E-6</v>
      </c>
      <c r="V22" s="163">
        <f t="shared" si="4"/>
        <v>7.3874930230178335E-9</v>
      </c>
      <c r="W22" s="163">
        <f t="shared" si="17"/>
        <v>0</v>
      </c>
      <c r="X22" s="163">
        <f t="shared" si="6"/>
        <v>0</v>
      </c>
      <c r="Y22" s="163">
        <f t="shared" si="7"/>
        <v>0</v>
      </c>
      <c r="Z22" s="163">
        <f t="shared" si="18"/>
        <v>0</v>
      </c>
      <c r="AA22" s="163">
        <f t="shared" si="19"/>
        <v>0</v>
      </c>
      <c r="AB22" s="163">
        <f t="shared" si="20"/>
        <v>3.2618229806826512E-10</v>
      </c>
      <c r="AC22" s="163">
        <f t="shared" si="2"/>
        <v>0</v>
      </c>
      <c r="AD22" s="33">
        <f t="shared" si="3"/>
        <v>0</v>
      </c>
      <c r="AE22" s="37">
        <f>((Branco3!$P$10-U22)/(Branco3!$P$10))*100</f>
        <v>68.060493499602003</v>
      </c>
      <c r="AF22" s="38"/>
      <c r="AG22" s="39">
        <f t="shared" si="21"/>
        <v>95.771376360933758</v>
      </c>
      <c r="AH22" s="39">
        <f t="shared" si="22"/>
        <v>0</v>
      </c>
      <c r="AI22" s="39">
        <f t="shared" si="23"/>
        <v>0</v>
      </c>
      <c r="AJ22" s="39">
        <f t="shared" si="24"/>
        <v>0</v>
      </c>
      <c r="AK22" s="39">
        <f t="shared" si="25"/>
        <v>0</v>
      </c>
      <c r="AL22" s="39">
        <f t="shared" si="26"/>
        <v>0</v>
      </c>
      <c r="AM22" s="39">
        <f t="shared" si="27"/>
        <v>4.2286236390662353</v>
      </c>
      <c r="AN22" s="38">
        <f t="shared" si="28"/>
        <v>0</v>
      </c>
      <c r="AO22" s="38">
        <f t="shared" si="29"/>
        <v>98.549569968868227</v>
      </c>
      <c r="AP22" s="38">
        <f t="shared" si="30"/>
        <v>0</v>
      </c>
      <c r="AQ22" s="39">
        <f t="shared" si="31"/>
        <v>0</v>
      </c>
      <c r="AR22" s="39">
        <f t="shared" si="32"/>
        <v>0</v>
      </c>
      <c r="AS22" s="38">
        <f t="shared" si="33"/>
        <v>1.4504300311317813</v>
      </c>
      <c r="AT22" s="38">
        <f t="shared" si="34"/>
        <v>0</v>
      </c>
      <c r="AU22" s="151">
        <f t="shared" si="35"/>
        <v>31.607375731665506</v>
      </c>
      <c r="AV22" s="151">
        <f>(((U22*3)+(V22*3)+(2*W22)+(2*X22)+(Y22)+(Z22)+(AB22)))/((Branco3!$P$10*3))*100</f>
        <v>32.072565858633645</v>
      </c>
      <c r="AW22" s="151">
        <f t="shared" si="36"/>
        <v>21.512135905244982</v>
      </c>
      <c r="AX22" s="186">
        <f t="shared" si="37"/>
        <v>0.4394278322488917</v>
      </c>
      <c r="AY22" s="23">
        <f t="shared" si="9"/>
        <v>0</v>
      </c>
      <c r="AZ22" s="23">
        <f t="shared" si="10"/>
        <v>0</v>
      </c>
      <c r="BA22" s="23">
        <f t="shared" si="11"/>
        <v>0</v>
      </c>
      <c r="BB22" s="23">
        <f t="shared" si="12"/>
        <v>0</v>
      </c>
      <c r="BC22" s="151">
        <f t="shared" si="45"/>
        <v>0</v>
      </c>
      <c r="BD22" s="39">
        <f t="shared" si="38"/>
        <v>18.807511220252564</v>
      </c>
      <c r="BE22" s="23">
        <f t="shared" si="39"/>
        <v>0</v>
      </c>
      <c r="BF22" s="3">
        <f t="shared" si="40"/>
        <v>0</v>
      </c>
      <c r="BG22" s="3">
        <f t="shared" si="41"/>
        <v>0</v>
      </c>
      <c r="BH22" s="3">
        <f t="shared" si="42"/>
        <v>0</v>
      </c>
      <c r="BI22" s="121">
        <f t="shared" si="43"/>
        <v>0</v>
      </c>
      <c r="BJ22" s="193">
        <f t="shared" si="46"/>
        <v>2.2488661367121766E-8</v>
      </c>
      <c r="BK22" s="194">
        <f t="shared" si="47"/>
        <v>0.41486970148302005</v>
      </c>
    </row>
    <row r="23" spans="2:63" ht="18.75" thickBot="1" x14ac:dyDescent="0.4">
      <c r="B23" s="225"/>
      <c r="C23" s="25">
        <f>(1*C22)/(0.082057*298)</f>
        <v>2.4536880690153747E-2</v>
      </c>
      <c r="D23" s="15" t="s">
        <v>23</v>
      </c>
      <c r="G23" s="181">
        <f t="shared" si="16"/>
        <v>0.18114829597789378</v>
      </c>
      <c r="H23" s="17">
        <v>16</v>
      </c>
      <c r="I23" s="17">
        <v>225</v>
      </c>
      <c r="J23" s="40">
        <v>11800</v>
      </c>
      <c r="K23" s="41">
        <v>46</v>
      </c>
      <c r="L23" s="41"/>
      <c r="M23" s="41"/>
      <c r="N23" s="41"/>
      <c r="O23" s="41">
        <v>65140</v>
      </c>
      <c r="P23" s="41">
        <v>0</v>
      </c>
      <c r="Q23" s="41">
        <v>0</v>
      </c>
      <c r="R23" s="41">
        <v>2</v>
      </c>
      <c r="S23" s="41"/>
      <c r="T23" s="42"/>
      <c r="U23" s="32">
        <f t="shared" si="8"/>
        <v>1.763814041332126E-6</v>
      </c>
      <c r="V23" s="163">
        <f t="shared" si="4"/>
        <v>7.2303123204004324E-9</v>
      </c>
      <c r="W23" s="163">
        <f t="shared" si="17"/>
        <v>0</v>
      </c>
      <c r="X23" s="163">
        <f t="shared" si="6"/>
        <v>0</v>
      </c>
      <c r="Y23" s="163">
        <f t="shared" si="7"/>
        <v>0</v>
      </c>
      <c r="Z23" s="163">
        <f t="shared" si="18"/>
        <v>0</v>
      </c>
      <c r="AA23" s="163">
        <f t="shared" si="19"/>
        <v>0</v>
      </c>
      <c r="AB23" s="163">
        <f t="shared" si="20"/>
        <v>2.1745486537884341E-10</v>
      </c>
      <c r="AC23" s="163">
        <f t="shared" si="2"/>
        <v>0</v>
      </c>
      <c r="AD23" s="33">
        <f t="shared" si="3"/>
        <v>0</v>
      </c>
      <c r="AE23" s="37">
        <f>((Branco3!$P$10-U23)/(Branco3!$P$10))*100</f>
        <v>68.691960732289729</v>
      </c>
      <c r="AF23" s="38"/>
      <c r="AG23" s="39">
        <f t="shared" si="21"/>
        <v>97.080267683527339</v>
      </c>
      <c r="AH23" s="39">
        <f t="shared" si="22"/>
        <v>0</v>
      </c>
      <c r="AI23" s="39">
        <f t="shared" si="23"/>
        <v>0</v>
      </c>
      <c r="AJ23" s="39">
        <f t="shared" si="24"/>
        <v>0</v>
      </c>
      <c r="AK23" s="39">
        <f t="shared" si="25"/>
        <v>0</v>
      </c>
      <c r="AL23" s="39">
        <f t="shared" si="26"/>
        <v>0</v>
      </c>
      <c r="AM23" s="39">
        <f t="shared" si="27"/>
        <v>2.9197323164726536</v>
      </c>
      <c r="AN23" s="38">
        <f t="shared" si="28"/>
        <v>0</v>
      </c>
      <c r="AO23" s="38">
        <f t="shared" si="29"/>
        <v>99.007435748364614</v>
      </c>
      <c r="AP23" s="38">
        <f t="shared" si="30"/>
        <v>0</v>
      </c>
      <c r="AQ23" s="39">
        <f t="shared" si="31"/>
        <v>0</v>
      </c>
      <c r="AR23" s="39">
        <f t="shared" si="32"/>
        <v>0</v>
      </c>
      <c r="AS23" s="38">
        <f t="shared" si="33"/>
        <v>0.99256425163538675</v>
      </c>
      <c r="AT23" s="38">
        <f t="shared" si="34"/>
        <v>0</v>
      </c>
      <c r="AU23" s="151">
        <f t="shared" si="35"/>
        <v>31.12562629962229</v>
      </c>
      <c r="AV23" s="151">
        <f>(((U23*3)+(V23*3)+(2*W23)+(2*X23)+(Y23)+(Z23)+(AB23)))/((Branco3!$P$10*3))*100</f>
        <v>31.43766532720894</v>
      </c>
      <c r="AW23" s="151">
        <f t="shared" si="36"/>
        <v>21.380802995415788</v>
      </c>
      <c r="AX23" s="186">
        <f t="shared" si="37"/>
        <v>0.43674509836679909</v>
      </c>
      <c r="AY23" s="23">
        <f t="shared" si="9"/>
        <v>0</v>
      </c>
      <c r="AZ23" s="23">
        <f t="shared" si="10"/>
        <v>0</v>
      </c>
      <c r="BA23" s="23">
        <f t="shared" si="11"/>
        <v>0</v>
      </c>
      <c r="BB23" s="23">
        <f t="shared" si="12"/>
        <v>0</v>
      </c>
      <c r="BC23" s="151">
        <f t="shared" si="45"/>
        <v>0</v>
      </c>
      <c r="BD23" s="39">
        <f t="shared" si="38"/>
        <v>18.692690210098998</v>
      </c>
      <c r="BE23" s="23">
        <f t="shared" si="39"/>
        <v>0</v>
      </c>
      <c r="BF23" s="3">
        <f t="shared" si="40"/>
        <v>0</v>
      </c>
      <c r="BG23" s="3">
        <f t="shared" si="41"/>
        <v>0</v>
      </c>
      <c r="BH23" s="3">
        <f t="shared" si="42"/>
        <v>0</v>
      </c>
      <c r="BI23" s="121">
        <f t="shared" si="43"/>
        <v>0</v>
      </c>
      <c r="BJ23" s="193">
        <f t="shared" si="46"/>
        <v>2.1908391826580141E-8</v>
      </c>
      <c r="BK23" s="194">
        <f t="shared" si="47"/>
        <v>0.4123272455174522</v>
      </c>
    </row>
    <row r="24" spans="2:63" x14ac:dyDescent="0.25">
      <c r="B24" s="224" t="s">
        <v>83</v>
      </c>
      <c r="C24" s="24">
        <v>20</v>
      </c>
      <c r="D24" s="13" t="s">
        <v>21</v>
      </c>
      <c r="G24" s="181">
        <f t="shared" si="16"/>
        <v>0.18161676462442686</v>
      </c>
      <c r="H24" s="84">
        <v>17</v>
      </c>
      <c r="I24" s="84">
        <v>240</v>
      </c>
      <c r="J24" s="85">
        <v>11804</v>
      </c>
      <c r="K24" s="86">
        <v>47</v>
      </c>
      <c r="L24" s="86"/>
      <c r="M24" s="86"/>
      <c r="N24" s="86"/>
      <c r="O24" s="86">
        <v>64994</v>
      </c>
      <c r="P24" s="86">
        <v>0</v>
      </c>
      <c r="Q24" s="86">
        <v>0</v>
      </c>
      <c r="R24" s="86">
        <v>3</v>
      </c>
      <c r="S24" s="86"/>
      <c r="T24" s="87"/>
      <c r="U24" s="88">
        <f t="shared" si="8"/>
        <v>1.7644119443969844E-6</v>
      </c>
      <c r="V24" s="164">
        <f t="shared" si="4"/>
        <v>7.3874930230178335E-9</v>
      </c>
      <c r="W24" s="164">
        <f t="shared" si="17"/>
        <v>0</v>
      </c>
      <c r="X24" s="164">
        <f t="shared" si="6"/>
        <v>0</v>
      </c>
      <c r="Y24" s="164">
        <f t="shared" si="7"/>
        <v>0</v>
      </c>
      <c r="Z24" s="163">
        <f t="shared" si="18"/>
        <v>0</v>
      </c>
      <c r="AA24" s="164">
        <f t="shared" si="19"/>
        <v>0</v>
      </c>
      <c r="AB24" s="163">
        <f t="shared" si="20"/>
        <v>3.2618229806826512E-10</v>
      </c>
      <c r="AC24" s="164">
        <f t="shared" si="2"/>
        <v>0</v>
      </c>
      <c r="AD24" s="89">
        <f t="shared" si="3"/>
        <v>0</v>
      </c>
      <c r="AE24" s="90">
        <f>((Branco3!$P$10-U24)/(Branco3!$P$10))*100</f>
        <v>68.68134783762271</v>
      </c>
      <c r="AF24" s="91"/>
      <c r="AG24" s="92">
        <f t="shared" si="21"/>
        <v>95.771376360933758</v>
      </c>
      <c r="AH24" s="92">
        <f t="shared" si="22"/>
        <v>0</v>
      </c>
      <c r="AI24" s="92">
        <f t="shared" si="23"/>
        <v>0</v>
      </c>
      <c r="AJ24" s="92">
        <f t="shared" si="24"/>
        <v>0</v>
      </c>
      <c r="AK24" s="92">
        <f t="shared" si="25"/>
        <v>0</v>
      </c>
      <c r="AL24" s="92">
        <f t="shared" si="26"/>
        <v>0</v>
      </c>
      <c r="AM24" s="92">
        <f t="shared" si="27"/>
        <v>4.2286236390662353</v>
      </c>
      <c r="AN24" s="91">
        <f t="shared" si="28"/>
        <v>0</v>
      </c>
      <c r="AO24" s="91">
        <f t="shared" si="29"/>
        <v>98.549569968868227</v>
      </c>
      <c r="AP24" s="91">
        <f t="shared" si="30"/>
        <v>0</v>
      </c>
      <c r="AQ24" s="92">
        <f t="shared" si="31"/>
        <v>0</v>
      </c>
      <c r="AR24" s="92">
        <f t="shared" si="32"/>
        <v>0</v>
      </c>
      <c r="AS24" s="91">
        <f t="shared" si="33"/>
        <v>1.4504300311317813</v>
      </c>
      <c r="AT24" s="91">
        <f t="shared" si="34"/>
        <v>0</v>
      </c>
      <c r="AU24" s="151">
        <f t="shared" si="35"/>
        <v>30.995526451413053</v>
      </c>
      <c r="AV24" s="101">
        <f>(((U24*3)+(V24*3)+(2*W24)+(2*X24)+(Y24)+(Z24)+(AB24)))/((Branco3!$P$10*3))*100</f>
        <v>31.451711520612953</v>
      </c>
      <c r="AW24" s="151">
        <f t="shared" si="36"/>
        <v>21.288145336197353</v>
      </c>
      <c r="AX24" s="191">
        <f t="shared" si="37"/>
        <v>0.43485238280796484</v>
      </c>
      <c r="AY24" s="93">
        <f t="shared" si="9"/>
        <v>0</v>
      </c>
      <c r="AZ24" s="93">
        <f t="shared" si="10"/>
        <v>0</v>
      </c>
      <c r="BA24" s="93">
        <f t="shared" si="11"/>
        <v>0</v>
      </c>
      <c r="BB24" s="93">
        <f t="shared" si="12"/>
        <v>0</v>
      </c>
      <c r="BC24" s="101">
        <f t="shared" si="45"/>
        <v>0</v>
      </c>
      <c r="BD24" s="92">
        <f t="shared" si="38"/>
        <v>18.611681984180894</v>
      </c>
      <c r="BE24" s="93">
        <f t="shared" si="39"/>
        <v>0</v>
      </c>
      <c r="BF24" s="189">
        <f t="shared" si="40"/>
        <v>0</v>
      </c>
      <c r="BG24" s="189">
        <f t="shared" si="41"/>
        <v>0</v>
      </c>
      <c r="BH24" s="189">
        <f t="shared" si="42"/>
        <v>0</v>
      </c>
      <c r="BI24" s="190">
        <f t="shared" si="43"/>
        <v>0</v>
      </c>
      <c r="BJ24" s="193">
        <f t="shared" si="46"/>
        <v>2.2488661367121766E-8</v>
      </c>
      <c r="BK24" s="194">
        <f t="shared" si="47"/>
        <v>0.4230591971074561</v>
      </c>
    </row>
    <row r="25" spans="2:63" x14ac:dyDescent="0.25">
      <c r="B25" s="229"/>
      <c r="C25" s="23">
        <f>(C24/1000)*60</f>
        <v>1.2</v>
      </c>
      <c r="D25" s="14" t="s">
        <v>22</v>
      </c>
      <c r="G25" s="181">
        <f t="shared" si="16"/>
        <v>0.18213662947703038</v>
      </c>
      <c r="H25" s="17">
        <v>18</v>
      </c>
      <c r="I25" s="17">
        <v>255</v>
      </c>
      <c r="J25" s="40">
        <v>11803</v>
      </c>
      <c r="K25" s="41">
        <v>47</v>
      </c>
      <c r="L25" s="41"/>
      <c r="M25" s="41"/>
      <c r="N25" s="41"/>
      <c r="O25" s="41">
        <v>64803</v>
      </c>
      <c r="P25" s="41">
        <v>0</v>
      </c>
      <c r="Q25" s="41">
        <v>0</v>
      </c>
      <c r="R25" s="41">
        <v>3</v>
      </c>
      <c r="S25" s="41"/>
      <c r="T25" s="42"/>
      <c r="U25" s="32">
        <f t="shared" si="8"/>
        <v>1.7642624686307698E-6</v>
      </c>
      <c r="V25" s="163">
        <f t="shared" si="4"/>
        <v>7.3874930230178335E-9</v>
      </c>
      <c r="W25" s="163">
        <f t="shared" si="17"/>
        <v>0</v>
      </c>
      <c r="X25" s="163">
        <f t="shared" si="6"/>
        <v>0</v>
      </c>
      <c r="Y25" s="163">
        <f t="shared" si="7"/>
        <v>0</v>
      </c>
      <c r="Z25" s="163">
        <f t="shared" si="18"/>
        <v>0</v>
      </c>
      <c r="AA25" s="163">
        <f t="shared" si="19"/>
        <v>0</v>
      </c>
      <c r="AB25" s="163">
        <f t="shared" si="20"/>
        <v>3.2618229806826512E-10</v>
      </c>
      <c r="AC25" s="163">
        <f t="shared" si="2"/>
        <v>0</v>
      </c>
      <c r="AD25" s="33">
        <f t="shared" si="3"/>
        <v>0</v>
      </c>
      <c r="AE25" s="37">
        <f>((Branco3!$P$10-U25)/(Branco3!$P$10))*100</f>
        <v>68.684001061289464</v>
      </c>
      <c r="AF25" s="38"/>
      <c r="AG25" s="39">
        <f t="shared" si="21"/>
        <v>95.771376360933758</v>
      </c>
      <c r="AH25" s="39">
        <f t="shared" si="22"/>
        <v>0</v>
      </c>
      <c r="AI25" s="39">
        <f t="shared" si="23"/>
        <v>0</v>
      </c>
      <c r="AJ25" s="39">
        <f t="shared" si="24"/>
        <v>0</v>
      </c>
      <c r="AK25" s="39">
        <f t="shared" si="25"/>
        <v>0</v>
      </c>
      <c r="AL25" s="39">
        <f t="shared" si="26"/>
        <v>0</v>
      </c>
      <c r="AM25" s="39">
        <f t="shared" si="27"/>
        <v>4.2286236390662353</v>
      </c>
      <c r="AN25" s="38">
        <f t="shared" si="28"/>
        <v>0</v>
      </c>
      <c r="AO25" s="38">
        <f t="shared" si="29"/>
        <v>98.549569968868227</v>
      </c>
      <c r="AP25" s="38">
        <f t="shared" si="30"/>
        <v>0</v>
      </c>
      <c r="AQ25" s="39">
        <f t="shared" si="31"/>
        <v>0</v>
      </c>
      <c r="AR25" s="39">
        <f t="shared" si="32"/>
        <v>0</v>
      </c>
      <c r="AS25" s="38">
        <f t="shared" si="33"/>
        <v>1.4504300311317813</v>
      </c>
      <c r="AT25" s="38">
        <f t="shared" si="34"/>
        <v>0</v>
      </c>
      <c r="AU25" s="151">
        <f t="shared" si="35"/>
        <v>30.992911710899143</v>
      </c>
      <c r="AV25" s="151">
        <f>(((U25*3)+(V25*3)+(2*W25)+(2*X25)+(Y25)+(Z25)+(AB25)))/((Branco3!$P$10*3))*100</f>
        <v>31.449058296946191</v>
      </c>
      <c r="AW25" s="151">
        <f t="shared" si="36"/>
        <v>21.287171808438476</v>
      </c>
      <c r="AX25" s="186">
        <f t="shared" si="37"/>
        <v>0.43483249658213391</v>
      </c>
      <c r="AY25" s="23">
        <f t="shared" si="9"/>
        <v>0</v>
      </c>
      <c r="AZ25" s="23">
        <f t="shared" si="10"/>
        <v>0</v>
      </c>
      <c r="BA25" s="23">
        <f t="shared" si="11"/>
        <v>0</v>
      </c>
      <c r="BB25" s="23">
        <f t="shared" si="12"/>
        <v>0</v>
      </c>
      <c r="BC25" s="151">
        <f t="shared" si="45"/>
        <v>0</v>
      </c>
      <c r="BD25" s="39">
        <f t="shared" si="38"/>
        <v>18.610830853715331</v>
      </c>
      <c r="BE25" s="23">
        <f t="shared" si="39"/>
        <v>0</v>
      </c>
      <c r="BF25" s="3">
        <f t="shared" si="40"/>
        <v>0</v>
      </c>
      <c r="BG25" s="3">
        <f t="shared" si="41"/>
        <v>0</v>
      </c>
      <c r="BH25" s="3">
        <f t="shared" si="42"/>
        <v>0</v>
      </c>
      <c r="BI25" s="121">
        <f t="shared" si="43"/>
        <v>0</v>
      </c>
      <c r="BJ25" s="193">
        <f t="shared" si="46"/>
        <v>2.2488661367121766E-8</v>
      </c>
      <c r="BK25" s="194">
        <f t="shared" si="47"/>
        <v>0.42309488881763718</v>
      </c>
    </row>
    <row r="26" spans="2:63" ht="18.75" thickBot="1" x14ac:dyDescent="0.4">
      <c r="B26" s="225"/>
      <c r="C26" s="25">
        <f>(1*C25)/(0.082057*298)</f>
        <v>4.9073761380307494E-2</v>
      </c>
      <c r="D26" s="15" t="s">
        <v>24</v>
      </c>
      <c r="G26" s="181">
        <f t="shared" si="16"/>
        <v>0.18553207221640275</v>
      </c>
      <c r="H26" s="17">
        <v>19</v>
      </c>
      <c r="I26" s="17">
        <v>270</v>
      </c>
      <c r="J26" s="40">
        <v>12044</v>
      </c>
      <c r="K26" s="41">
        <v>50</v>
      </c>
      <c r="L26" s="41"/>
      <c r="M26" s="41"/>
      <c r="N26" s="41"/>
      <c r="O26" s="41">
        <v>64916</v>
      </c>
      <c r="P26" s="41">
        <v>0</v>
      </c>
      <c r="Q26" s="41">
        <v>0</v>
      </c>
      <c r="R26" s="41">
        <v>3</v>
      </c>
      <c r="S26" s="41"/>
      <c r="T26" s="42"/>
      <c r="U26" s="32">
        <f t="shared" si="8"/>
        <v>1.8002861282884853E-6</v>
      </c>
      <c r="V26" s="163">
        <f>K25*$D$10</f>
        <v>7.3874930230178335E-9</v>
      </c>
      <c r="W26" s="163">
        <f>(L25)*$D$11</f>
        <v>0</v>
      </c>
      <c r="X26" s="163">
        <f t="shared" si="6"/>
        <v>0</v>
      </c>
      <c r="Y26" s="163">
        <f t="shared" si="7"/>
        <v>0</v>
      </c>
      <c r="Z26" s="163">
        <f t="shared" si="18"/>
        <v>0</v>
      </c>
      <c r="AA26" s="163">
        <f t="shared" si="19"/>
        <v>0</v>
      </c>
      <c r="AB26" s="163">
        <f t="shared" si="20"/>
        <v>3.2618229806826512E-10</v>
      </c>
      <c r="AC26" s="163">
        <f t="shared" si="2"/>
        <v>0</v>
      </c>
      <c r="AD26" s="33">
        <f t="shared" si="3"/>
        <v>0</v>
      </c>
      <c r="AE26" s="37">
        <f>((Branco3!$P$10-U26)/(Branco3!$P$10))*100</f>
        <v>68.044574157601488</v>
      </c>
      <c r="AF26" s="38"/>
      <c r="AG26" s="39">
        <f t="shared" si="21"/>
        <v>95.771376360933758</v>
      </c>
      <c r="AH26" s="39">
        <f t="shared" si="22"/>
        <v>0</v>
      </c>
      <c r="AI26" s="39">
        <f t="shared" si="23"/>
        <v>0</v>
      </c>
      <c r="AJ26" s="39">
        <f t="shared" si="24"/>
        <v>0</v>
      </c>
      <c r="AK26" s="39">
        <f t="shared" si="25"/>
        <v>0</v>
      </c>
      <c r="AL26" s="39">
        <f t="shared" si="26"/>
        <v>0</v>
      </c>
      <c r="AM26" s="39">
        <f t="shared" si="27"/>
        <v>4.2286236390662353</v>
      </c>
      <c r="AN26" s="38">
        <f t="shared" ref="AN26:AN32" si="48">(AD26/SUM(V26,X26,Y26,Z26,AB26,AD26))*100</f>
        <v>0</v>
      </c>
      <c r="AO26" s="38">
        <f t="shared" si="29"/>
        <v>98.549569968868227</v>
      </c>
      <c r="AP26" s="38">
        <f t="shared" si="30"/>
        <v>0</v>
      </c>
      <c r="AQ26" s="39">
        <f t="shared" si="31"/>
        <v>0</v>
      </c>
      <c r="AR26" s="39">
        <f t="shared" si="32"/>
        <v>0</v>
      </c>
      <c r="AS26" s="38">
        <f t="shared" si="33"/>
        <v>1.4504300311317813</v>
      </c>
      <c r="AT26" s="38">
        <f t="shared" si="34"/>
        <v>0</v>
      </c>
      <c r="AU26" s="151">
        <f t="shared" si="35"/>
        <v>31.623064174748912</v>
      </c>
      <c r="AV26" s="151">
        <f>(((U26*3)+(V26*3)+(2*W26)+(2*X26)+(Y26)+(Z26)+(AB26)))/((Branco3!$P$10*3))*100</f>
        <v>32.088485200634182</v>
      </c>
      <c r="AW26" s="151">
        <f t="shared" si="36"/>
        <v>21.51777935329293</v>
      </c>
      <c r="AX26" s="186">
        <f t="shared" si="37"/>
        <v>0.4395431108131887</v>
      </c>
      <c r="AY26" s="23">
        <f t="shared" si="9"/>
        <v>0</v>
      </c>
      <c r="AZ26" s="23">
        <f t="shared" si="10"/>
        <v>0</v>
      </c>
      <c r="BA26" s="23">
        <f t="shared" si="11"/>
        <v>0</v>
      </c>
      <c r="BB26" s="23">
        <f t="shared" si="12"/>
        <v>0</v>
      </c>
      <c r="BC26" s="151">
        <f t="shared" si="45"/>
        <v>0</v>
      </c>
      <c r="BD26" s="39">
        <f t="shared" si="38"/>
        <v>18.812445142804474</v>
      </c>
      <c r="BE26" s="23">
        <f t="shared" si="39"/>
        <v>0</v>
      </c>
      <c r="BF26" s="3">
        <f t="shared" si="40"/>
        <v>0</v>
      </c>
      <c r="BG26" s="3">
        <f t="shared" si="41"/>
        <v>0</v>
      </c>
      <c r="BH26" s="3">
        <f t="shared" si="42"/>
        <v>0</v>
      </c>
      <c r="BI26" s="121">
        <f t="shared" si="43"/>
        <v>0</v>
      </c>
      <c r="BJ26" s="193">
        <f t="shared" si="46"/>
        <v>2.2488661367121766E-8</v>
      </c>
      <c r="BK26" s="194">
        <f t="shared" si="47"/>
        <v>0.41466388146308847</v>
      </c>
    </row>
    <row r="27" spans="2:63" ht="15.75" thickBot="1" x14ac:dyDescent="0.3">
      <c r="G27" s="181">
        <f t="shared" si="16"/>
        <v>0.18484390890320196</v>
      </c>
      <c r="H27" s="17">
        <v>20</v>
      </c>
      <c r="I27" s="17">
        <v>285</v>
      </c>
      <c r="J27" s="40">
        <v>11996</v>
      </c>
      <c r="K27" s="41">
        <v>50</v>
      </c>
      <c r="L27" s="41"/>
      <c r="M27" s="41"/>
      <c r="N27" s="41"/>
      <c r="O27" s="41">
        <v>64898</v>
      </c>
      <c r="P27" s="41">
        <v>0</v>
      </c>
      <c r="Q27" s="41">
        <v>0</v>
      </c>
      <c r="R27" s="41">
        <v>3</v>
      </c>
      <c r="S27" s="41"/>
      <c r="T27" s="42"/>
      <c r="U27" s="32">
        <f t="shared" si="8"/>
        <v>1.7931112915101849E-6</v>
      </c>
      <c r="V27" s="163">
        <f t="shared" si="4"/>
        <v>7.8590351308700354E-9</v>
      </c>
      <c r="W27" s="163">
        <f t="shared" si="17"/>
        <v>0</v>
      </c>
      <c r="X27" s="163">
        <f t="shared" si="6"/>
        <v>0</v>
      </c>
      <c r="Y27" s="163">
        <f t="shared" si="7"/>
        <v>0</v>
      </c>
      <c r="Z27" s="163">
        <f t="shared" si="18"/>
        <v>0</v>
      </c>
      <c r="AA27" s="163">
        <f t="shared" si="19"/>
        <v>0</v>
      </c>
      <c r="AB27" s="163">
        <f t="shared" si="20"/>
        <v>3.2618229806826512E-10</v>
      </c>
      <c r="AC27" s="163">
        <f t="shared" si="2"/>
        <v>0</v>
      </c>
      <c r="AD27" s="33">
        <f t="shared" si="3"/>
        <v>0</v>
      </c>
      <c r="AE27" s="37">
        <f>((Branco3!$P$10-U27)/(Branco3!$P$10))*100</f>
        <v>68.171928893605724</v>
      </c>
      <c r="AF27" s="38"/>
      <c r="AG27" s="39">
        <f t="shared" si="21"/>
        <v>96.014983097271568</v>
      </c>
      <c r="AH27" s="39">
        <f t="shared" si="22"/>
        <v>0</v>
      </c>
      <c r="AI27" s="39">
        <f t="shared" si="23"/>
        <v>0</v>
      </c>
      <c r="AJ27" s="39">
        <f t="shared" si="24"/>
        <v>0</v>
      </c>
      <c r="AK27" s="39">
        <f t="shared" si="25"/>
        <v>0</v>
      </c>
      <c r="AL27" s="39">
        <f t="shared" si="26"/>
        <v>0</v>
      </c>
      <c r="AM27" s="39">
        <f t="shared" si="27"/>
        <v>3.9850169027284355</v>
      </c>
      <c r="AN27" s="38">
        <f t="shared" si="48"/>
        <v>0</v>
      </c>
      <c r="AO27" s="38">
        <f t="shared" si="29"/>
        <v>98.635408223800653</v>
      </c>
      <c r="AP27" s="38">
        <f t="shared" si="30"/>
        <v>0</v>
      </c>
      <c r="AQ27" s="39">
        <f t="shared" si="31"/>
        <v>0</v>
      </c>
      <c r="AR27" s="39">
        <f t="shared" si="32"/>
        <v>0</v>
      </c>
      <c r="AS27" s="38">
        <f t="shared" si="33"/>
        <v>1.3645917761993356</v>
      </c>
      <c r="AT27" s="38">
        <f t="shared" si="34"/>
        <v>0</v>
      </c>
      <c r="AU27" s="151">
        <f t="shared" si="35"/>
        <v>31.533247254217976</v>
      </c>
      <c r="AV27" s="151">
        <f>(((U27*3)+(V27*3)+(2*W27)+(2*X27)+(Y27)+(Z27)+(AB27)))/((Branco3!$P$10*3))*100</f>
        <v>31.969500427949793</v>
      </c>
      <c r="AW27" s="151">
        <f t="shared" si="36"/>
        <v>21.496822895990359</v>
      </c>
      <c r="AX27" s="186">
        <f t="shared" si="37"/>
        <v>0.43911503381308759</v>
      </c>
      <c r="AY27" s="23">
        <f t="shared" si="9"/>
        <v>0</v>
      </c>
      <c r="AZ27" s="23">
        <f t="shared" si="10"/>
        <v>0</v>
      </c>
      <c r="BA27" s="23">
        <f t="shared" si="11"/>
        <v>0</v>
      </c>
      <c r="BB27" s="23">
        <f t="shared" si="12"/>
        <v>0</v>
      </c>
      <c r="BC27" s="151">
        <f t="shared" si="45"/>
        <v>0</v>
      </c>
      <c r="BD27" s="39">
        <f t="shared" si="38"/>
        <v>18.794123447200146</v>
      </c>
      <c r="BE27" s="23">
        <f t="shared" si="39"/>
        <v>0</v>
      </c>
      <c r="BF27" s="3">
        <f t="shared" si="40"/>
        <v>0</v>
      </c>
      <c r="BG27" s="3">
        <f t="shared" si="41"/>
        <v>0</v>
      </c>
      <c r="BH27" s="3">
        <f t="shared" si="42"/>
        <v>0</v>
      </c>
      <c r="BI27" s="121">
        <f t="shared" si="43"/>
        <v>0</v>
      </c>
      <c r="BJ27" s="193">
        <f t="shared" si="46"/>
        <v>2.3903287690678369E-8</v>
      </c>
      <c r="BK27" s="194">
        <f t="shared" si="47"/>
        <v>0.44238827526963287</v>
      </c>
    </row>
    <row r="28" spans="2:63" x14ac:dyDescent="0.25">
      <c r="B28" s="230" t="s">
        <v>25</v>
      </c>
      <c r="C28" s="231"/>
      <c r="D28" s="21">
        <f>(1*(0.25/1000))/(0.082057*373)</f>
        <v>8.1679964763916645E-6</v>
      </c>
      <c r="G28" s="181">
        <f t="shared" si="16"/>
        <v>0.18326460269588232</v>
      </c>
      <c r="H28" s="84">
        <v>21</v>
      </c>
      <c r="I28" s="84">
        <v>300</v>
      </c>
      <c r="J28" s="85">
        <v>11910</v>
      </c>
      <c r="K28" s="86">
        <v>51</v>
      </c>
      <c r="L28" s="86"/>
      <c r="M28" s="86"/>
      <c r="N28" s="86"/>
      <c r="O28" s="86">
        <v>64988</v>
      </c>
      <c r="P28" s="86">
        <v>0</v>
      </c>
      <c r="Q28" s="86">
        <v>0</v>
      </c>
      <c r="R28" s="86">
        <v>3</v>
      </c>
      <c r="S28" s="86"/>
      <c r="T28" s="87"/>
      <c r="U28" s="88">
        <f t="shared" si="8"/>
        <v>1.7802563756157304E-6</v>
      </c>
      <c r="V28" s="164">
        <f t="shared" si="4"/>
        <v>8.0162158334874357E-9</v>
      </c>
      <c r="W28" s="164">
        <f t="shared" si="17"/>
        <v>0</v>
      </c>
      <c r="X28" s="164">
        <f t="shared" si="6"/>
        <v>0</v>
      </c>
      <c r="Y28" s="164">
        <f t="shared" si="7"/>
        <v>0</v>
      </c>
      <c r="Z28" s="163">
        <f t="shared" si="18"/>
        <v>0</v>
      </c>
      <c r="AA28" s="164">
        <f t="shared" si="19"/>
        <v>0</v>
      </c>
      <c r="AB28" s="163">
        <f t="shared" si="20"/>
        <v>3.2618229806826512E-10</v>
      </c>
      <c r="AC28" s="164">
        <f t="shared" si="2"/>
        <v>0</v>
      </c>
      <c r="AD28" s="89">
        <f t="shared" si="3"/>
        <v>0</v>
      </c>
      <c r="AE28" s="90">
        <f>((Branco3!$P$10-U28)/(Branco3!$P$10))*100</f>
        <v>68.400106128946675</v>
      </c>
      <c r="AF28" s="91"/>
      <c r="AG28" s="92">
        <f t="shared" si="21"/>
        <v>96.090065555197398</v>
      </c>
      <c r="AH28" s="92">
        <f t="shared" si="22"/>
        <v>0</v>
      </c>
      <c r="AI28" s="92">
        <f t="shared" si="23"/>
        <v>0</v>
      </c>
      <c r="AJ28" s="92">
        <f t="shared" si="24"/>
        <v>0</v>
      </c>
      <c r="AK28" s="92">
        <f t="shared" si="25"/>
        <v>0</v>
      </c>
      <c r="AL28" s="92">
        <f t="shared" si="26"/>
        <v>0</v>
      </c>
      <c r="AM28" s="92">
        <f t="shared" si="27"/>
        <v>3.9099344448026034</v>
      </c>
      <c r="AN28" s="91">
        <f t="shared" si="48"/>
        <v>0</v>
      </c>
      <c r="AO28" s="91">
        <f t="shared" si="29"/>
        <v>98.661806868953278</v>
      </c>
      <c r="AP28" s="91">
        <f t="shared" si="30"/>
        <v>0</v>
      </c>
      <c r="AQ28" s="92">
        <f t="shared" si="31"/>
        <v>0</v>
      </c>
      <c r="AR28" s="92">
        <f t="shared" si="32"/>
        <v>0</v>
      </c>
      <c r="AS28" s="91">
        <f t="shared" si="33"/>
        <v>1.3381931310467199</v>
      </c>
      <c r="AT28" s="91">
        <f t="shared" si="34"/>
        <v>0</v>
      </c>
      <c r="AU28" s="151">
        <f t="shared" si="35"/>
        <v>31.319315638290572</v>
      </c>
      <c r="AV28" s="101">
        <f>(((U28*3)+(V28*3)+(2*W28)+(2*X28)+(Y28)+(Z28)+(AB28)))/((Branco3!$P$10*3))*100</f>
        <v>31.744113180382143</v>
      </c>
      <c r="AW28" s="151">
        <f t="shared" si="36"/>
        <v>21.422445135450545</v>
      </c>
      <c r="AX28" s="191">
        <f t="shared" si="37"/>
        <v>0.43759572126200014</v>
      </c>
      <c r="AY28" s="93">
        <f t="shared" si="9"/>
        <v>0</v>
      </c>
      <c r="AZ28" s="93">
        <f t="shared" si="10"/>
        <v>0</v>
      </c>
      <c r="BA28" s="93">
        <f t="shared" si="11"/>
        <v>0</v>
      </c>
      <c r="BB28" s="93">
        <f t="shared" si="12"/>
        <v>0</v>
      </c>
      <c r="BC28" s="101">
        <f t="shared" si="45"/>
        <v>0</v>
      </c>
      <c r="BD28" s="92">
        <f t="shared" si="38"/>
        <v>18.729096870013606</v>
      </c>
      <c r="BE28" s="93">
        <f t="shared" si="39"/>
        <v>0</v>
      </c>
      <c r="BF28" s="189">
        <f t="shared" si="40"/>
        <v>0</v>
      </c>
      <c r="BG28" s="189">
        <f t="shared" si="41"/>
        <v>0</v>
      </c>
      <c r="BH28" s="189">
        <f t="shared" si="42"/>
        <v>0</v>
      </c>
      <c r="BI28" s="190">
        <f t="shared" si="43"/>
        <v>0</v>
      </c>
      <c r="BJ28" s="193">
        <f t="shared" si="46"/>
        <v>2.437482979853057E-8</v>
      </c>
      <c r="BK28" s="194">
        <f t="shared" si="47"/>
        <v>0.45431828102837468</v>
      </c>
    </row>
    <row r="29" spans="2:63" x14ac:dyDescent="0.25">
      <c r="B29" s="220" t="s">
        <v>28</v>
      </c>
      <c r="C29" s="221"/>
      <c r="D29" s="22">
        <v>1</v>
      </c>
      <c r="H29" s="17"/>
      <c r="I29" s="17"/>
      <c r="J29" s="40"/>
      <c r="K29" s="41"/>
      <c r="L29" s="41"/>
      <c r="M29" s="41"/>
      <c r="N29" s="41"/>
      <c r="O29" s="41"/>
      <c r="P29" s="41"/>
      <c r="Q29" s="41"/>
      <c r="R29" s="41"/>
      <c r="S29" s="41"/>
      <c r="T29" s="42"/>
      <c r="U29" s="32">
        <f t="shared" si="8"/>
        <v>0</v>
      </c>
      <c r="V29" s="163">
        <f t="shared" si="4"/>
        <v>0</v>
      </c>
      <c r="W29" s="163">
        <f t="shared" si="17"/>
        <v>0</v>
      </c>
      <c r="X29" s="163">
        <f t="shared" si="6"/>
        <v>0</v>
      </c>
      <c r="Y29" s="163">
        <f t="shared" si="7"/>
        <v>0</v>
      </c>
      <c r="Z29" s="163">
        <f t="shared" si="18"/>
        <v>0</v>
      </c>
      <c r="AA29" s="163">
        <f t="shared" si="19"/>
        <v>0</v>
      </c>
      <c r="AB29" s="163">
        <f t="shared" si="20"/>
        <v>0</v>
      </c>
      <c r="AC29" s="163">
        <f t="shared" si="2"/>
        <v>0</v>
      </c>
      <c r="AD29" s="33">
        <f t="shared" si="3"/>
        <v>0</v>
      </c>
      <c r="AE29" s="37">
        <f>((Branco3!$P$10-U29)/(Branco3!$P$10))*100</f>
        <v>100</v>
      </c>
      <c r="AF29" s="38"/>
      <c r="AG29" s="39" t="e">
        <f t="shared" si="21"/>
        <v>#DIV/0!</v>
      </c>
      <c r="AH29" s="39" t="e">
        <f t="shared" si="22"/>
        <v>#DIV/0!</v>
      </c>
      <c r="AI29" s="39" t="e">
        <f t="shared" si="23"/>
        <v>#DIV/0!</v>
      </c>
      <c r="AJ29" s="39" t="e">
        <f t="shared" si="24"/>
        <v>#DIV/0!</v>
      </c>
      <c r="AK29" s="39" t="e">
        <f t="shared" si="25"/>
        <v>#DIV/0!</v>
      </c>
      <c r="AL29" s="39" t="e">
        <f t="shared" si="26"/>
        <v>#DIV/0!</v>
      </c>
      <c r="AM29" s="39" t="e">
        <f t="shared" si="27"/>
        <v>#DIV/0!</v>
      </c>
      <c r="AN29" s="38" t="e">
        <f t="shared" si="48"/>
        <v>#DIV/0!</v>
      </c>
      <c r="AO29" s="38" t="e">
        <f>(V29/(SUM(V29+(W29*2/3)+(X29*2/3)+(Y29*1/3)+(Z29*1/3)+(AB29*1/3)))*100)</f>
        <v>#DIV/0!</v>
      </c>
      <c r="AP29" s="38" t="e">
        <f t="shared" si="30"/>
        <v>#DIV/0!</v>
      </c>
      <c r="AQ29" s="39" t="e">
        <f t="shared" si="31"/>
        <v>#DIV/0!</v>
      </c>
      <c r="AR29" s="39" t="e">
        <f t="shared" si="32"/>
        <v>#DIV/0!</v>
      </c>
      <c r="AS29" s="38" t="e">
        <f t="shared" si="33"/>
        <v>#DIV/0!</v>
      </c>
      <c r="AT29" s="38" t="e">
        <f t="shared" ref="AT29:AT32" si="49">(Y29/(AVERAGE($U$5:$U$7)-V29))*100*1/3</f>
        <v>#DIV/0!</v>
      </c>
      <c r="AU29" s="151"/>
      <c r="AV29" s="151">
        <f>(((U29*3)+(V29*3)+(2*W29)+(2*X29)+(Y29)+(Z29)+(AB29)))/((Branco3!$P$10*3))*100</f>
        <v>0</v>
      </c>
      <c r="AW29" s="151" t="e">
        <f t="shared" ref="AW29:AW31" si="50">(AO29*AE29)/100</f>
        <v>#DIV/0!</v>
      </c>
      <c r="AX29" s="186" t="e">
        <f t="shared" ref="AX29:AX32" si="51">(((AW29/100)*($C$23)*1000)/$C$5)</f>
        <v>#DIV/0!</v>
      </c>
      <c r="AY29" s="23" t="e">
        <f t="shared" si="9"/>
        <v>#DIV/0!</v>
      </c>
      <c r="AZ29" s="23" t="e">
        <f t="shared" si="10"/>
        <v>#DIV/0!</v>
      </c>
      <c r="BA29" s="23" t="e">
        <f t="shared" si="11"/>
        <v>#DIV/0!</v>
      </c>
      <c r="BB29" s="23" t="e">
        <f t="shared" si="12"/>
        <v>#DIV/0!</v>
      </c>
      <c r="BC29" s="151" t="e">
        <f t="shared" si="45"/>
        <v>#DIV/0!</v>
      </c>
      <c r="BD29" s="39" t="e">
        <f t="shared" si="38"/>
        <v>#DIV/0!</v>
      </c>
      <c r="BE29" s="23" t="e">
        <f t="shared" si="39"/>
        <v>#DIV/0!</v>
      </c>
      <c r="BF29" s="3" t="e">
        <f t="shared" si="40"/>
        <v>#DIV/0!</v>
      </c>
      <c r="BG29" s="3" t="e">
        <f t="shared" si="41"/>
        <v>#DIV/0!</v>
      </c>
      <c r="BH29" s="3" t="e">
        <f t="shared" si="42"/>
        <v>#DIV/0!</v>
      </c>
      <c r="BI29" s="121" t="e">
        <f t="shared" si="43"/>
        <v>#DIV/0!</v>
      </c>
      <c r="BJ29" s="193">
        <f t="shared" si="46"/>
        <v>0</v>
      </c>
      <c r="BK29" s="194" t="e">
        <f t="shared" si="47"/>
        <v>#DIV/0!</v>
      </c>
    </row>
    <row r="30" spans="2:63" x14ac:dyDescent="0.25">
      <c r="B30" s="220" t="s">
        <v>29</v>
      </c>
      <c r="C30" s="221"/>
      <c r="D30" s="22">
        <v>0</v>
      </c>
      <c r="H30" s="17"/>
      <c r="I30" s="17"/>
      <c r="J30" s="40"/>
      <c r="K30" s="41"/>
      <c r="L30" s="41"/>
      <c r="M30" s="41"/>
      <c r="N30" s="41"/>
      <c r="O30" s="41"/>
      <c r="P30" s="41"/>
      <c r="Q30" s="41"/>
      <c r="R30" s="41"/>
      <c r="S30" s="41"/>
      <c r="T30" s="42"/>
      <c r="U30" s="32">
        <f t="shared" si="8"/>
        <v>0</v>
      </c>
      <c r="V30" s="163">
        <f t="shared" si="4"/>
        <v>0</v>
      </c>
      <c r="W30" s="163">
        <f t="shared" si="17"/>
        <v>0</v>
      </c>
      <c r="X30" s="163">
        <f t="shared" si="6"/>
        <v>0</v>
      </c>
      <c r="Y30" s="163">
        <f t="shared" si="7"/>
        <v>0</v>
      </c>
      <c r="Z30" s="163">
        <f t="shared" si="18"/>
        <v>0</v>
      </c>
      <c r="AA30" s="163">
        <f t="shared" si="19"/>
        <v>0</v>
      </c>
      <c r="AB30" s="163">
        <f t="shared" si="20"/>
        <v>0</v>
      </c>
      <c r="AC30" s="163">
        <f t="shared" si="2"/>
        <v>0</v>
      </c>
      <c r="AD30" s="33">
        <f t="shared" si="3"/>
        <v>0</v>
      </c>
      <c r="AE30" s="37">
        <f>((Branco3!$P$10-U30)/(Branco3!$P$10))*100</f>
        <v>100</v>
      </c>
      <c r="AF30" s="38"/>
      <c r="AG30" s="39" t="e">
        <f t="shared" si="21"/>
        <v>#DIV/0!</v>
      </c>
      <c r="AH30" s="39" t="e">
        <f t="shared" si="22"/>
        <v>#DIV/0!</v>
      </c>
      <c r="AI30" s="39" t="e">
        <f t="shared" si="23"/>
        <v>#DIV/0!</v>
      </c>
      <c r="AJ30" s="39" t="e">
        <f t="shared" si="24"/>
        <v>#DIV/0!</v>
      </c>
      <c r="AK30" s="39" t="e">
        <f t="shared" si="25"/>
        <v>#DIV/0!</v>
      </c>
      <c r="AL30" s="39" t="e">
        <f t="shared" si="26"/>
        <v>#DIV/0!</v>
      </c>
      <c r="AM30" s="39" t="e">
        <f t="shared" si="27"/>
        <v>#DIV/0!</v>
      </c>
      <c r="AN30" s="38" t="e">
        <f t="shared" si="48"/>
        <v>#DIV/0!</v>
      </c>
      <c r="AO30" s="38" t="e">
        <f t="shared" si="29"/>
        <v>#DIV/0!</v>
      </c>
      <c r="AP30" s="38" t="e">
        <f t="shared" si="30"/>
        <v>#DIV/0!</v>
      </c>
      <c r="AQ30" s="39" t="e">
        <f t="shared" si="31"/>
        <v>#DIV/0!</v>
      </c>
      <c r="AR30" s="39" t="e">
        <f t="shared" si="32"/>
        <v>#DIV/0!</v>
      </c>
      <c r="AS30" s="38" t="e">
        <f t="shared" si="33"/>
        <v>#DIV/0!</v>
      </c>
      <c r="AT30" s="38" t="e">
        <f t="shared" si="49"/>
        <v>#DIV/0!</v>
      </c>
      <c r="AU30" s="151"/>
      <c r="AV30" s="151">
        <f>(((U30*3)+(V30*3)+(2*W30)+(2*X30)+(Y30)+(Z30)+(AB30)))/((Branco3!$P$10*3))*100</f>
        <v>0</v>
      </c>
      <c r="AW30" s="151" t="e">
        <f t="shared" si="50"/>
        <v>#DIV/0!</v>
      </c>
      <c r="AX30" s="186" t="e">
        <f t="shared" si="51"/>
        <v>#DIV/0!</v>
      </c>
      <c r="AY30" s="23" t="e">
        <f t="shared" si="9"/>
        <v>#DIV/0!</v>
      </c>
      <c r="AZ30" s="23" t="e">
        <f t="shared" si="10"/>
        <v>#DIV/0!</v>
      </c>
      <c r="BA30" s="23" t="e">
        <f t="shared" si="11"/>
        <v>#DIV/0!</v>
      </c>
      <c r="BB30" s="23" t="e">
        <f t="shared" si="12"/>
        <v>#DIV/0!</v>
      </c>
      <c r="BC30" s="151" t="e">
        <f t="shared" si="45"/>
        <v>#DIV/0!</v>
      </c>
      <c r="BD30" s="39" t="e">
        <f t="shared" si="38"/>
        <v>#DIV/0!</v>
      </c>
      <c r="BE30" s="23" t="e">
        <f t="shared" si="39"/>
        <v>#DIV/0!</v>
      </c>
      <c r="BF30" s="3" t="e">
        <f t="shared" si="40"/>
        <v>#DIV/0!</v>
      </c>
      <c r="BG30" s="3" t="e">
        <f t="shared" si="41"/>
        <v>#DIV/0!</v>
      </c>
      <c r="BH30" s="3" t="e">
        <f t="shared" si="42"/>
        <v>#DIV/0!</v>
      </c>
      <c r="BI30" s="121" t="e">
        <f t="shared" si="43"/>
        <v>#DIV/0!</v>
      </c>
      <c r="BJ30" s="193">
        <f t="shared" si="46"/>
        <v>0</v>
      </c>
      <c r="BK30" s="194" t="e">
        <f t="shared" si="47"/>
        <v>#DIV/0!</v>
      </c>
    </row>
    <row r="31" spans="2:63" x14ac:dyDescent="0.25">
      <c r="B31" s="220" t="s">
        <v>26</v>
      </c>
      <c r="C31" s="221"/>
      <c r="D31" s="26">
        <f>D28*D29</f>
        <v>8.1679964763916645E-6</v>
      </c>
      <c r="H31" s="17"/>
      <c r="I31" s="17"/>
      <c r="J31" s="40"/>
      <c r="K31" s="41"/>
      <c r="L31" s="41"/>
      <c r="M31" s="41"/>
      <c r="N31" s="41"/>
      <c r="O31" s="41"/>
      <c r="P31" s="41"/>
      <c r="Q31" s="41"/>
      <c r="R31" s="41"/>
      <c r="S31" s="41"/>
      <c r="T31" s="42"/>
      <c r="U31" s="32">
        <f t="shared" si="8"/>
        <v>0</v>
      </c>
      <c r="V31" s="163">
        <f t="shared" si="4"/>
        <v>0</v>
      </c>
      <c r="W31" s="163">
        <f t="shared" si="17"/>
        <v>0</v>
      </c>
      <c r="X31" s="163">
        <f t="shared" si="6"/>
        <v>0</v>
      </c>
      <c r="Y31" s="163">
        <f t="shared" si="7"/>
        <v>0</v>
      </c>
      <c r="Z31" s="163">
        <f t="shared" si="18"/>
        <v>0</v>
      </c>
      <c r="AA31" s="163">
        <f t="shared" si="19"/>
        <v>0</v>
      </c>
      <c r="AB31" s="163">
        <f t="shared" si="20"/>
        <v>0</v>
      </c>
      <c r="AC31" s="163">
        <f t="shared" si="2"/>
        <v>0</v>
      </c>
      <c r="AD31" s="33">
        <f t="shared" si="3"/>
        <v>0</v>
      </c>
      <c r="AE31" s="37">
        <f>((Branco3!$P$10-U31)/(Branco3!$P$10))*100</f>
        <v>100</v>
      </c>
      <c r="AF31" s="38"/>
      <c r="AG31" s="39" t="e">
        <f t="shared" si="21"/>
        <v>#DIV/0!</v>
      </c>
      <c r="AH31" s="39" t="e">
        <f t="shared" si="22"/>
        <v>#DIV/0!</v>
      </c>
      <c r="AI31" s="39" t="e">
        <f t="shared" si="23"/>
        <v>#DIV/0!</v>
      </c>
      <c r="AJ31" s="39" t="e">
        <f t="shared" si="24"/>
        <v>#DIV/0!</v>
      </c>
      <c r="AK31" s="39" t="e">
        <f t="shared" si="25"/>
        <v>#DIV/0!</v>
      </c>
      <c r="AL31" s="39" t="e">
        <f t="shared" si="26"/>
        <v>#DIV/0!</v>
      </c>
      <c r="AM31" s="39" t="e">
        <f t="shared" si="27"/>
        <v>#DIV/0!</v>
      </c>
      <c r="AN31" s="38" t="e">
        <f t="shared" si="48"/>
        <v>#DIV/0!</v>
      </c>
      <c r="AO31" s="38" t="e">
        <f t="shared" si="29"/>
        <v>#DIV/0!</v>
      </c>
      <c r="AP31" s="38" t="e">
        <f t="shared" si="30"/>
        <v>#DIV/0!</v>
      </c>
      <c r="AQ31" s="39" t="e">
        <f t="shared" si="31"/>
        <v>#DIV/0!</v>
      </c>
      <c r="AR31" s="39" t="e">
        <f t="shared" si="32"/>
        <v>#DIV/0!</v>
      </c>
      <c r="AS31" s="38" t="e">
        <f t="shared" si="33"/>
        <v>#DIV/0!</v>
      </c>
      <c r="AT31" s="38" t="e">
        <f t="shared" si="49"/>
        <v>#DIV/0!</v>
      </c>
      <c r="AU31" s="151"/>
      <c r="AV31" s="151">
        <f>(((U31*3)+(V31*3)+(2*W31)+(2*X31)+(Y31)+(Z31)+(AB31)))/((Branco3!$P$10*3))*100</f>
        <v>0</v>
      </c>
      <c r="AW31" s="151" t="e">
        <f t="shared" si="50"/>
        <v>#DIV/0!</v>
      </c>
      <c r="AX31" s="186" t="e">
        <f t="shared" si="51"/>
        <v>#DIV/0!</v>
      </c>
      <c r="AY31" s="23" t="e">
        <f t="shared" si="9"/>
        <v>#DIV/0!</v>
      </c>
      <c r="AZ31" s="23" t="e">
        <f t="shared" si="10"/>
        <v>#DIV/0!</v>
      </c>
      <c r="BA31" s="23" t="e">
        <f t="shared" si="11"/>
        <v>#DIV/0!</v>
      </c>
      <c r="BB31" s="23" t="e">
        <f t="shared" si="12"/>
        <v>#DIV/0!</v>
      </c>
      <c r="BC31" s="151" t="e">
        <f t="shared" si="45"/>
        <v>#DIV/0!</v>
      </c>
      <c r="BD31" s="39" t="e">
        <f t="shared" si="38"/>
        <v>#DIV/0!</v>
      </c>
      <c r="BE31" s="23" t="e">
        <f t="shared" si="39"/>
        <v>#DIV/0!</v>
      </c>
      <c r="BF31" s="3" t="e">
        <f t="shared" si="40"/>
        <v>#DIV/0!</v>
      </c>
      <c r="BG31" s="3" t="e">
        <f t="shared" si="41"/>
        <v>#DIV/0!</v>
      </c>
      <c r="BH31" s="3" t="e">
        <f t="shared" si="42"/>
        <v>#DIV/0!</v>
      </c>
      <c r="BI31" s="121" t="e">
        <f t="shared" si="43"/>
        <v>#DIV/0!</v>
      </c>
      <c r="BJ31" s="193">
        <f t="shared" si="46"/>
        <v>0</v>
      </c>
      <c r="BK31" s="194" t="e">
        <f t="shared" si="47"/>
        <v>#DIV/0!</v>
      </c>
    </row>
    <row r="32" spans="2:63" ht="15.75" thickBot="1" x14ac:dyDescent="0.3">
      <c r="B32" s="222" t="s">
        <v>27</v>
      </c>
      <c r="C32" s="223"/>
      <c r="D32" s="27">
        <f>D28*D30</f>
        <v>0</v>
      </c>
      <c r="H32" s="18"/>
      <c r="I32" s="18"/>
      <c r="J32" s="43"/>
      <c r="K32" s="44"/>
      <c r="L32" s="44"/>
      <c r="M32" s="44"/>
      <c r="N32" s="44"/>
      <c r="O32" s="44"/>
      <c r="P32" s="44"/>
      <c r="Q32" s="44"/>
      <c r="R32" s="44"/>
      <c r="S32" s="44"/>
      <c r="T32" s="45"/>
      <c r="U32" s="34">
        <f t="shared" si="8"/>
        <v>0</v>
      </c>
      <c r="V32" s="35">
        <f t="shared" si="4"/>
        <v>0</v>
      </c>
      <c r="W32" s="35">
        <f t="shared" si="17"/>
        <v>0</v>
      </c>
      <c r="X32" s="35">
        <f t="shared" si="6"/>
        <v>0</v>
      </c>
      <c r="Y32" s="35">
        <f t="shared" si="7"/>
        <v>0</v>
      </c>
      <c r="Z32" s="163">
        <f t="shared" si="18"/>
        <v>0</v>
      </c>
      <c r="AA32" s="35">
        <f t="shared" si="19"/>
        <v>0</v>
      </c>
      <c r="AB32" s="163">
        <f t="shared" si="20"/>
        <v>0</v>
      </c>
      <c r="AC32" s="35">
        <f t="shared" si="2"/>
        <v>0</v>
      </c>
      <c r="AD32" s="36">
        <f t="shared" si="3"/>
        <v>0</v>
      </c>
      <c r="AE32" s="37">
        <f>((Branco3!$P$10-U32)/(Branco3!$P$10))*100</f>
        <v>100</v>
      </c>
      <c r="AF32" s="97"/>
      <c r="AG32" s="102" t="e">
        <f t="shared" si="21"/>
        <v>#DIV/0!</v>
      </c>
      <c r="AH32" s="102" t="e">
        <f t="shared" si="22"/>
        <v>#DIV/0!</v>
      </c>
      <c r="AI32" s="102" t="e">
        <f t="shared" si="23"/>
        <v>#DIV/0!</v>
      </c>
      <c r="AJ32" s="102" t="e">
        <f t="shared" si="24"/>
        <v>#DIV/0!</v>
      </c>
      <c r="AK32" s="102" t="e">
        <f t="shared" si="25"/>
        <v>#DIV/0!</v>
      </c>
      <c r="AL32" s="102" t="e">
        <f t="shared" si="26"/>
        <v>#DIV/0!</v>
      </c>
      <c r="AM32" s="102" t="e">
        <f t="shared" si="27"/>
        <v>#DIV/0!</v>
      </c>
      <c r="AN32" s="97" t="e">
        <f t="shared" si="48"/>
        <v>#DIV/0!</v>
      </c>
      <c r="AO32" s="97" t="e">
        <f t="shared" si="29"/>
        <v>#DIV/0!</v>
      </c>
      <c r="AP32" s="97" t="e">
        <f t="shared" si="30"/>
        <v>#DIV/0!</v>
      </c>
      <c r="AQ32" s="102" t="e">
        <f t="shared" si="31"/>
        <v>#DIV/0!</v>
      </c>
      <c r="AR32" s="102" t="e">
        <f t="shared" si="32"/>
        <v>#DIV/0!</v>
      </c>
      <c r="AS32" s="97" t="e">
        <f t="shared" si="33"/>
        <v>#DIV/0!</v>
      </c>
      <c r="AT32" s="97" t="e">
        <f t="shared" si="49"/>
        <v>#DIV/0!</v>
      </c>
      <c r="AU32" s="153"/>
      <c r="AV32" s="153">
        <f>(((U32*3)+(V32*3)+(2*W32)+(2*X32)+(Y32)+(Z32)+(AB32)))/((Branco3!$P$10*3))*100</f>
        <v>0</v>
      </c>
      <c r="AW32" s="15" t="e">
        <f>AG32*AE32/100</f>
        <v>#DIV/0!</v>
      </c>
      <c r="AX32" s="192" t="e">
        <f t="shared" si="51"/>
        <v>#DIV/0!</v>
      </c>
      <c r="AY32" s="152" t="e">
        <f t="shared" si="9"/>
        <v>#DIV/0!</v>
      </c>
      <c r="AZ32" s="152" t="e">
        <f t="shared" si="10"/>
        <v>#DIV/0!</v>
      </c>
      <c r="BA32" s="152" t="e">
        <f t="shared" si="11"/>
        <v>#DIV/0!</v>
      </c>
      <c r="BB32" s="152" t="e">
        <f t="shared" si="12"/>
        <v>#DIV/0!</v>
      </c>
      <c r="BC32" s="153" t="e">
        <f t="shared" si="45"/>
        <v>#DIV/0!</v>
      </c>
      <c r="BD32" s="102" t="e">
        <f t="shared" si="38"/>
        <v>#DIV/0!</v>
      </c>
      <c r="BE32" s="152" t="e">
        <f t="shared" si="39"/>
        <v>#DIV/0!</v>
      </c>
      <c r="BF32" s="7" t="e">
        <f t="shared" si="40"/>
        <v>#DIV/0!</v>
      </c>
      <c r="BG32" s="7" t="e">
        <f t="shared" si="41"/>
        <v>#DIV/0!</v>
      </c>
      <c r="BH32" s="7" t="e">
        <f t="shared" si="42"/>
        <v>#DIV/0!</v>
      </c>
      <c r="BI32" s="122" t="e">
        <f t="shared" si="43"/>
        <v>#DIV/0!</v>
      </c>
      <c r="BJ32" s="195">
        <f t="shared" si="46"/>
        <v>0</v>
      </c>
      <c r="BK32" s="196" t="e">
        <f t="shared" si="47"/>
        <v>#DIV/0!</v>
      </c>
    </row>
    <row r="33" spans="2:48" x14ac:dyDescent="0.25">
      <c r="AE33" s="95" t="s">
        <v>50</v>
      </c>
    </row>
    <row r="34" spans="2:48" ht="15.75" thickBot="1" x14ac:dyDescent="0.3">
      <c r="B34" s="28">
        <f>D28*0.24</f>
        <v>1.9603191543339994E-6</v>
      </c>
      <c r="C34" s="1">
        <v>1028</v>
      </c>
      <c r="AE34" s="96">
        <f>AVERAGE(AE12:AE28)</f>
        <v>68.073759617935778</v>
      </c>
      <c r="AV34" s="23">
        <f>AVERAGE(AV9:AV27)</f>
        <v>32.074845738013479</v>
      </c>
    </row>
    <row r="35" spans="2:48" ht="15.75" thickBot="1" x14ac:dyDescent="0.3">
      <c r="B35" s="28">
        <f>B34/C37</f>
        <v>1.9137512082661891E-9</v>
      </c>
      <c r="C35">
        <v>1009</v>
      </c>
    </row>
    <row r="36" spans="2:48" ht="15.75" customHeight="1" thickBot="1" x14ac:dyDescent="0.3">
      <c r="C36">
        <v>1036</v>
      </c>
      <c r="F36" s="243" t="s">
        <v>58</v>
      </c>
      <c r="G36" s="217" t="s">
        <v>73</v>
      </c>
      <c r="H36" s="226"/>
      <c r="I36" s="226"/>
      <c r="J36" s="226"/>
      <c r="K36" s="226"/>
      <c r="L36" s="226"/>
      <c r="M36" s="226"/>
      <c r="N36" s="218"/>
      <c r="O36" s="179"/>
      <c r="P36" s="235" t="s">
        <v>34</v>
      </c>
      <c r="Q36" s="224" t="s">
        <v>74</v>
      </c>
      <c r="R36" s="224" t="s">
        <v>75</v>
      </c>
      <c r="S36" s="224" t="s">
        <v>80</v>
      </c>
      <c r="T36" s="224" t="s">
        <v>81</v>
      </c>
      <c r="U36" s="224" t="s">
        <v>82</v>
      </c>
      <c r="V36" s="227" t="s">
        <v>36</v>
      </c>
      <c r="W36" s="237" t="s">
        <v>49</v>
      </c>
      <c r="X36" s="237" t="s">
        <v>59</v>
      </c>
    </row>
    <row r="37" spans="2:48" ht="15.75" thickBot="1" x14ac:dyDescent="0.3">
      <c r="C37" s="1">
        <f>AVERAGE(C34:C36)</f>
        <v>1024.3333333333333</v>
      </c>
      <c r="F37" s="244"/>
      <c r="G37" s="123" t="s">
        <v>68</v>
      </c>
      <c r="H37" s="167" t="s">
        <v>37</v>
      </c>
      <c r="I37" s="167" t="s">
        <v>38</v>
      </c>
      <c r="J37" s="167" t="s">
        <v>39</v>
      </c>
      <c r="K37" s="167" t="s">
        <v>10</v>
      </c>
      <c r="L37" s="167" t="s">
        <v>8</v>
      </c>
      <c r="M37" s="167" t="s">
        <v>11</v>
      </c>
      <c r="N37" s="168" t="s">
        <v>35</v>
      </c>
      <c r="O37" s="168"/>
      <c r="P37" s="236"/>
      <c r="Q37" s="225"/>
      <c r="R37" s="229"/>
      <c r="S37" s="229"/>
      <c r="T37" s="229"/>
      <c r="U37" s="229"/>
      <c r="V37" s="228"/>
      <c r="W37" s="238"/>
      <c r="X37" s="238"/>
    </row>
    <row r="38" spans="2:48" x14ac:dyDescent="0.25">
      <c r="F38" s="95">
        <v>1</v>
      </c>
      <c r="G38" s="23">
        <f>AVERAGE(AL9:AL12)</f>
        <v>0</v>
      </c>
      <c r="H38" s="148">
        <f t="shared" ref="H38:J38" si="52">AVERAGE(AG9:AG12)</f>
        <v>92.326595530709625</v>
      </c>
      <c r="I38" s="148">
        <f t="shared" si="52"/>
        <v>0</v>
      </c>
      <c r="J38" s="148">
        <f t="shared" si="52"/>
        <v>0</v>
      </c>
      <c r="K38" s="148">
        <f>AVERAGE(AJ9:AJ12)</f>
        <v>0</v>
      </c>
      <c r="L38" s="148">
        <f>AVERAGE(AK9:AK12)</f>
        <v>1.7003317655536268</v>
      </c>
      <c r="M38" s="148">
        <f>AVERAGE(AN9:AN12)</f>
        <v>0</v>
      </c>
      <c r="N38" s="37">
        <f>AVERAGE(AM9:AM12)</f>
        <v>5.9730727037367624</v>
      </c>
      <c r="O38" s="37"/>
      <c r="P38" s="132">
        <f>AVERAGE(AE9:AE12)</f>
        <v>68.118864420270626</v>
      </c>
      <c r="Q38" s="169">
        <f>AVERAGE(AO10:AO12)</f>
        <v>97.490322345552002</v>
      </c>
      <c r="R38" s="129">
        <f>AVERAGE(AQ10:AQ12)</f>
        <v>0</v>
      </c>
      <c r="S38" s="129">
        <f>AVERAGE(AR10:AR12)</f>
        <v>0.41862867859684599</v>
      </c>
      <c r="T38" s="129">
        <f t="shared" ref="T38:U42" si="53">AVERAGE(AS10:AS12)</f>
        <v>2.0910489758511344</v>
      </c>
      <c r="U38" s="129">
        <f t="shared" si="53"/>
        <v>0</v>
      </c>
      <c r="V38" s="132">
        <f>AVERAGE(AV9:AV12)</f>
        <v>32.137304407296554</v>
      </c>
      <c r="W38" s="129">
        <f>AVERAGE(AW9:AW12)</f>
        <v>21.298089784007935</v>
      </c>
      <c r="X38" s="132">
        <f>AVERAGE(BD9:BD12)</f>
        <v>18.620376161021376</v>
      </c>
    </row>
    <row r="39" spans="2:48" x14ac:dyDescent="0.25">
      <c r="F39" s="115">
        <v>2</v>
      </c>
      <c r="G39" s="23">
        <f>AVERAGE(AL13:AL16)</f>
        <v>0</v>
      </c>
      <c r="H39" s="148">
        <f t="shared" ref="H39:J39" si="54">AVERAGE(AG13:AG16)</f>
        <v>95.494985407282201</v>
      </c>
      <c r="I39" s="148">
        <f t="shared" si="54"/>
        <v>0</v>
      </c>
      <c r="J39" s="148">
        <f t="shared" si="54"/>
        <v>0</v>
      </c>
      <c r="K39" s="148">
        <f>AVERAGE(AJ13:AJ16)</f>
        <v>0</v>
      </c>
      <c r="L39" s="148">
        <f>AVERAGE(AK13:AK16)</f>
        <v>0</v>
      </c>
      <c r="M39" s="148">
        <f>AVERAGE(AN13:AN16)</f>
        <v>0</v>
      </c>
      <c r="N39" s="37">
        <f>AVERAGE(AM13:AM16)</f>
        <v>4.5050145927177923</v>
      </c>
      <c r="O39" s="37"/>
      <c r="P39" s="133">
        <f>AVERAGE(AE13,AE14,AE16)</f>
        <v>67.644821791810386</v>
      </c>
      <c r="Q39" s="170">
        <f>AVERAGE(AO13:AO14)</f>
        <v>98.451432359156598</v>
      </c>
      <c r="R39" s="130">
        <f>AVERAGE(AQ13:AQ14)</f>
        <v>0</v>
      </c>
      <c r="S39" s="130">
        <f t="shared" ref="S39:S42" si="55">AVERAGE(AR11:AR13)</f>
        <v>0.12687945326155312</v>
      </c>
      <c r="T39" s="130">
        <f t="shared" si="53"/>
        <v>1.7230454246083384</v>
      </c>
      <c r="U39" s="130">
        <f t="shared" si="53"/>
        <v>0</v>
      </c>
      <c r="V39" s="133">
        <f>AVERAGE(AV13:AV16)</f>
        <v>32.436310514576178</v>
      </c>
      <c r="W39" s="130">
        <f>AVERAGE(AW13:AW16)</f>
        <v>21.61492339471538</v>
      </c>
      <c r="X39" s="133">
        <f>AVERAGE(BD13:BD16)</f>
        <v>18.897375698146867</v>
      </c>
    </row>
    <row r="40" spans="2:48" x14ac:dyDescent="0.25">
      <c r="F40" s="115">
        <v>3</v>
      </c>
      <c r="G40" s="23">
        <f>AVERAGE(AL17:AL20)</f>
        <v>0</v>
      </c>
      <c r="H40" s="148">
        <f t="shared" ref="H40:J40" si="56">AVERAGE(AG18:AG21)</f>
        <v>95.590727334976236</v>
      </c>
      <c r="I40" s="148">
        <f t="shared" si="56"/>
        <v>0</v>
      </c>
      <c r="J40" s="148">
        <f t="shared" si="56"/>
        <v>0</v>
      </c>
      <c r="K40" s="148">
        <f>AVERAGE(AJ18:AJ21)</f>
        <v>0</v>
      </c>
      <c r="L40" s="148">
        <f>AVERAGE(AK18:AK21)</f>
        <v>0</v>
      </c>
      <c r="M40" s="148">
        <f>AVERAGE(AN18:AN21)</f>
        <v>0</v>
      </c>
      <c r="N40" s="37">
        <f>AVERAGE(AM18:AM21)</f>
        <v>4.4092726650237566</v>
      </c>
      <c r="O40" s="37"/>
      <c r="P40" s="133">
        <f>AVERAGE(AE18:AE21)</f>
        <v>68.101618466436719</v>
      </c>
      <c r="Q40" s="170">
        <f>AVERAGE(AO17:AO20)</f>
        <v>98.477613670277378</v>
      </c>
      <c r="R40" s="130">
        <f>AVERAGE(AQ17:AQ20)</f>
        <v>0</v>
      </c>
      <c r="S40" s="130">
        <f t="shared" si="55"/>
        <v>0</v>
      </c>
      <c r="T40" s="130">
        <f t="shared" si="53"/>
        <v>1.4917736158250303</v>
      </c>
      <c r="U40" s="130">
        <f t="shared" si="53"/>
        <v>0</v>
      </c>
      <c r="V40" s="133">
        <f>AVERAGE(AV18:AV21)</f>
        <v>32.025860916252363</v>
      </c>
      <c r="W40" s="130">
        <f>AVERAGE(AW18:AW21)</f>
        <v>21.479239053352568</v>
      </c>
      <c r="X40" s="133">
        <f>AVERAGE(BD18:BD21)</f>
        <v>18.778750342494874</v>
      </c>
    </row>
    <row r="41" spans="2:48" x14ac:dyDescent="0.25">
      <c r="F41" s="115">
        <v>4</v>
      </c>
      <c r="G41" s="23">
        <f>AVERAGE(AL21:AL24)</f>
        <v>0</v>
      </c>
      <c r="H41" s="148">
        <f t="shared" ref="H41:J41" si="57">AVERAGE(AG22:AG25)</f>
        <v>96.098599191582153</v>
      </c>
      <c r="I41" s="148">
        <f t="shared" si="57"/>
        <v>0</v>
      </c>
      <c r="J41" s="148">
        <f t="shared" si="57"/>
        <v>0</v>
      </c>
      <c r="K41" s="148">
        <f>AVERAGE(AJ22:AJ25)</f>
        <v>0</v>
      </c>
      <c r="L41" s="148">
        <f>AVERAGE(AK22:AK25)</f>
        <v>0</v>
      </c>
      <c r="M41" s="148">
        <f>AVERAGE(AN22:AN25)</f>
        <v>0</v>
      </c>
      <c r="N41" s="37">
        <f>AVERAGE(AM22:AM25)</f>
        <v>3.90140080841784</v>
      </c>
      <c r="O41" s="37"/>
      <c r="P41" s="133">
        <f>AVERAGE(AE22:AE25)</f>
        <v>68.529450782700977</v>
      </c>
      <c r="Q41" s="170">
        <f>AVERAGE(AO22,AO24)</f>
        <v>98.549569968868227</v>
      </c>
      <c r="R41" s="130">
        <f>AVERAGE(AQ22,AQ24)</f>
        <v>0</v>
      </c>
      <c r="S41" s="130">
        <f t="shared" si="55"/>
        <v>0</v>
      </c>
      <c r="T41" s="130">
        <f t="shared" si="53"/>
        <v>1.5483092039627422</v>
      </c>
      <c r="U41" s="130">
        <f t="shared" si="53"/>
        <v>0</v>
      </c>
      <c r="V41" s="133">
        <f>AVERAGE(AV22:AV25)</f>
        <v>31.602750250850434</v>
      </c>
      <c r="W41" s="130">
        <f>AVERAGE(AW22:AW25)</f>
        <v>21.367064011324146</v>
      </c>
      <c r="X41" s="133">
        <f>AVERAGE(BD22:BD25)</f>
        <v>18.680678567061946</v>
      </c>
    </row>
    <row r="42" spans="2:48" ht="15.75" thickBot="1" x14ac:dyDescent="0.3">
      <c r="F42" s="116">
        <v>5</v>
      </c>
      <c r="G42" s="152">
        <f>AVERAGE(AL25:AL28)</f>
        <v>0</v>
      </c>
      <c r="H42" s="154">
        <f>AVERAGE(AG26:AG27)</f>
        <v>95.893179729102656</v>
      </c>
      <c r="I42" s="154">
        <f>AVERAGE(AH26:AH27)</f>
        <v>0</v>
      </c>
      <c r="J42" s="154">
        <f>AVERAGE(AI26:AI27)</f>
        <v>0</v>
      </c>
      <c r="K42" s="154">
        <f>AVERAGE(AJ26:AJ27)</f>
        <v>0</v>
      </c>
      <c r="L42" s="154">
        <f>AVERAGE(AK26:AK27)</f>
        <v>0</v>
      </c>
      <c r="M42" s="154">
        <f>AVERAGE(AN26:AN27)</f>
        <v>0</v>
      </c>
      <c r="N42" s="155">
        <f>AVERAGE(AM26:AM27)</f>
        <v>4.1068202708973356</v>
      </c>
      <c r="O42" s="155"/>
      <c r="P42" s="134">
        <f>AVERAGE(AE26:AE28)</f>
        <v>68.205536393384634</v>
      </c>
      <c r="Q42" s="171">
        <f>AVERAGE(AO26,AO27)</f>
        <v>98.592489096334447</v>
      </c>
      <c r="R42" s="131">
        <f>AVERAGE(AQ26,AQ27)</f>
        <v>0</v>
      </c>
      <c r="S42" s="131">
        <f t="shared" si="55"/>
        <v>0</v>
      </c>
      <c r="T42" s="131">
        <f t="shared" si="53"/>
        <v>1.5596007597311097</v>
      </c>
      <c r="U42" s="131">
        <f t="shared" si="53"/>
        <v>0</v>
      </c>
      <c r="V42" s="134">
        <f>AVERAGE(AV26:AV28)</f>
        <v>31.934032936322041</v>
      </c>
      <c r="W42" s="131">
        <f>AVERAGE(AW23:AW26)</f>
        <v>21.368474873336133</v>
      </c>
      <c r="X42" s="134">
        <f>AVERAGE(BD23:BD26)</f>
        <v>18.681912047699925</v>
      </c>
    </row>
    <row r="43" spans="2:48" x14ac:dyDescent="0.25">
      <c r="P43" s="128"/>
    </row>
  </sheetData>
  <mergeCells count="38">
    <mergeCell ref="AP3:AP4"/>
    <mergeCell ref="AQ3:AQ4"/>
    <mergeCell ref="AR3:AR4"/>
    <mergeCell ref="H2:I2"/>
    <mergeCell ref="H3:H4"/>
    <mergeCell ref="I3:I4"/>
    <mergeCell ref="J3:T3"/>
    <mergeCell ref="U3:AD3"/>
    <mergeCell ref="AE3:AE4"/>
    <mergeCell ref="P36:P37"/>
    <mergeCell ref="BJ3:BJ4"/>
    <mergeCell ref="BK3:BK4"/>
    <mergeCell ref="B21:B23"/>
    <mergeCell ref="B24:B26"/>
    <mergeCell ref="B28:C28"/>
    <mergeCell ref="B29:C29"/>
    <mergeCell ref="AS3:AS4"/>
    <mergeCell ref="AT3:AT4"/>
    <mergeCell ref="AV3:AV4"/>
    <mergeCell ref="AW3:AW4"/>
    <mergeCell ref="AX3:BC3"/>
    <mergeCell ref="BD3:BI3"/>
    <mergeCell ref="AF3:AF4"/>
    <mergeCell ref="AG3:AN3"/>
    <mergeCell ref="AO3:AO4"/>
    <mergeCell ref="B30:C30"/>
    <mergeCell ref="B31:C31"/>
    <mergeCell ref="B32:C32"/>
    <mergeCell ref="F36:F37"/>
    <mergeCell ref="G36:N36"/>
    <mergeCell ref="W36:W37"/>
    <mergeCell ref="X36:X37"/>
    <mergeCell ref="Q36:Q37"/>
    <mergeCell ref="R36:R37"/>
    <mergeCell ref="S36:S37"/>
    <mergeCell ref="T36:T37"/>
    <mergeCell ref="U36:U37"/>
    <mergeCell ref="V36:V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EC96B-4CCB-4BF3-B29B-9B6957638935}">
  <dimension ref="A1:BJ43"/>
  <sheetViews>
    <sheetView topLeftCell="K1" zoomScale="75" zoomScaleNormal="75" workbookViewId="0">
      <selection activeCell="AE12" sqref="G8:AE12"/>
    </sheetView>
  </sheetViews>
  <sheetFormatPr defaultRowHeight="15" x14ac:dyDescent="0.25"/>
  <cols>
    <col min="2" max="2" width="18.5703125" bestFit="1" customWidth="1"/>
    <col min="3" max="3" width="22.42578125" bestFit="1" customWidth="1"/>
    <col min="4" max="4" width="13.5703125" customWidth="1"/>
    <col min="5" max="5" width="14.7109375" bestFit="1" customWidth="1"/>
    <col min="6" max="6" width="22.42578125" style="3" bestFit="1" customWidth="1"/>
    <col min="7" max="7" width="10.42578125" style="3" customWidth="1"/>
    <col min="8" max="8" width="13.285156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4" width="12.5703125" style="2" customWidth="1"/>
    <col min="15" max="15" width="21.7109375" style="2" bestFit="1" customWidth="1"/>
    <col min="16" max="16" width="11" style="2" customWidth="1"/>
    <col min="17" max="17" width="10.28515625" style="2" bestFit="1" customWidth="1"/>
    <col min="18" max="18" width="12.28515625" style="2" customWidth="1"/>
    <col min="19" max="19" width="15.7109375" style="2" customWidth="1"/>
    <col min="20" max="20" width="14.85546875" customWidth="1"/>
    <col min="21" max="21" width="11.5703125" bestFit="1" customWidth="1"/>
    <col min="22" max="22" width="15.7109375" bestFit="1" customWidth="1"/>
    <col min="23" max="23" width="17" customWidth="1"/>
    <col min="24" max="24" width="11.5703125" bestFit="1" customWidth="1"/>
    <col min="25" max="26" width="11.85546875" customWidth="1"/>
    <col min="27" max="29" width="11.5703125" bestFit="1" customWidth="1"/>
    <col min="30" max="30" width="11.5703125" customWidth="1"/>
    <col min="31" max="31" width="15.5703125" customWidth="1"/>
    <col min="32" max="32" width="9.5703125" style="3" bestFit="1" customWidth="1"/>
    <col min="33" max="33" width="9.28515625" style="3" bestFit="1" customWidth="1"/>
    <col min="34" max="36" width="9.5703125" style="3" bestFit="1" customWidth="1"/>
    <col min="37" max="38" width="9.5703125" style="3" customWidth="1"/>
    <col min="39" max="39" width="9.140625" style="3"/>
    <col min="40" max="40" width="9.85546875" style="3" bestFit="1" customWidth="1"/>
    <col min="41" max="41" width="9.85546875" style="3" customWidth="1"/>
    <col min="42" max="42" width="9.85546875" style="3" bestFit="1" customWidth="1"/>
    <col min="43" max="43" width="10.7109375" style="3" bestFit="1" customWidth="1"/>
    <col min="44" max="46" width="10.7109375" style="3" customWidth="1"/>
    <col min="47" max="47" width="9.5703125" style="3" bestFit="1" customWidth="1"/>
    <col min="48" max="48" width="15.5703125" bestFit="1" customWidth="1"/>
    <col min="61" max="61" width="17.85546875" bestFit="1" customWidth="1"/>
    <col min="62" max="62" width="18.42578125" bestFit="1" customWidth="1"/>
  </cols>
  <sheetData>
    <row r="1" spans="1:62" ht="15.75" thickBot="1" x14ac:dyDescent="0.3"/>
    <row r="2" spans="1:62" ht="15.75" thickBot="1" x14ac:dyDescent="0.3">
      <c r="G2" s="217" t="s">
        <v>76</v>
      </c>
      <c r="H2" s="218"/>
      <c r="I2" s="157">
        <v>4.7</v>
      </c>
      <c r="J2" s="156">
        <v>4.5</v>
      </c>
      <c r="K2" s="156">
        <v>3.1</v>
      </c>
      <c r="L2" s="156">
        <v>2.9</v>
      </c>
      <c r="M2" s="158">
        <v>2.7</v>
      </c>
      <c r="N2" s="156"/>
      <c r="O2" s="159">
        <v>2.7</v>
      </c>
      <c r="P2" s="159">
        <v>4.5</v>
      </c>
      <c r="Q2" s="159">
        <v>2.2000000000000002</v>
      </c>
      <c r="R2" s="161">
        <v>1.6</v>
      </c>
      <c r="S2" s="160">
        <v>1.3</v>
      </c>
    </row>
    <row r="3" spans="1:62" ht="15.75" thickBot="1" x14ac:dyDescent="0.3">
      <c r="B3" s="10" t="s">
        <v>0</v>
      </c>
      <c r="C3" s="47">
        <v>44901</v>
      </c>
      <c r="G3" s="224" t="s">
        <v>30</v>
      </c>
      <c r="H3" s="224" t="s">
        <v>33</v>
      </c>
      <c r="I3" s="232" t="s">
        <v>31</v>
      </c>
      <c r="J3" s="232"/>
      <c r="K3" s="232"/>
      <c r="L3" s="232"/>
      <c r="M3" s="232"/>
      <c r="N3" s="232"/>
      <c r="O3" s="232"/>
      <c r="P3" s="232"/>
      <c r="Q3" s="232"/>
      <c r="R3" s="232"/>
      <c r="S3" s="233"/>
      <c r="T3" s="211" t="s">
        <v>52</v>
      </c>
      <c r="U3" s="211"/>
      <c r="V3" s="211"/>
      <c r="W3" s="211"/>
      <c r="X3" s="211"/>
      <c r="Y3" s="211"/>
      <c r="Z3" s="211"/>
      <c r="AA3" s="211"/>
      <c r="AB3" s="211"/>
      <c r="AC3" s="212"/>
      <c r="AD3" s="227" t="s">
        <v>94</v>
      </c>
      <c r="AE3" s="227" t="s">
        <v>34</v>
      </c>
      <c r="AF3" s="217" t="s">
        <v>73</v>
      </c>
      <c r="AG3" s="226"/>
      <c r="AH3" s="226"/>
      <c r="AI3" s="226"/>
      <c r="AJ3" s="226"/>
      <c r="AK3" s="226"/>
      <c r="AL3" s="226"/>
      <c r="AM3" s="226"/>
      <c r="AN3" s="224" t="s">
        <v>74</v>
      </c>
      <c r="AO3" s="224" t="s">
        <v>84</v>
      </c>
      <c r="AP3" s="224" t="s">
        <v>75</v>
      </c>
      <c r="AQ3" s="239" t="s">
        <v>80</v>
      </c>
      <c r="AR3" s="224" t="s">
        <v>81</v>
      </c>
      <c r="AS3" s="241" t="s">
        <v>82</v>
      </c>
      <c r="AT3" s="200"/>
      <c r="AU3" s="227" t="s">
        <v>36</v>
      </c>
      <c r="AV3" s="224" t="s">
        <v>49</v>
      </c>
      <c r="AW3" s="217" t="s">
        <v>95</v>
      </c>
      <c r="AX3" s="226"/>
      <c r="AY3" s="226"/>
      <c r="AZ3" s="226"/>
      <c r="BA3" s="226"/>
      <c r="BB3" s="218"/>
      <c r="BC3" s="217" t="s">
        <v>51</v>
      </c>
      <c r="BD3" s="226"/>
      <c r="BE3" s="226"/>
      <c r="BF3" s="226"/>
      <c r="BG3" s="226"/>
      <c r="BH3" s="218"/>
      <c r="BI3" s="224" t="s">
        <v>53</v>
      </c>
      <c r="BJ3" s="219" t="s">
        <v>54</v>
      </c>
    </row>
    <row r="4" spans="1:62" ht="15.75" thickBot="1" x14ac:dyDescent="0.3">
      <c r="B4" s="11" t="s">
        <v>1</v>
      </c>
      <c r="C4" s="48" t="s">
        <v>79</v>
      </c>
      <c r="E4" s="1"/>
      <c r="G4" s="225"/>
      <c r="H4" s="225"/>
      <c r="I4" s="19" t="s">
        <v>40</v>
      </c>
      <c r="J4" s="20" t="s">
        <v>41</v>
      </c>
      <c r="K4" s="20" t="s">
        <v>42</v>
      </c>
      <c r="L4" s="20" t="s">
        <v>43</v>
      </c>
      <c r="M4" s="20" t="s">
        <v>70</v>
      </c>
      <c r="N4" s="20" t="s">
        <v>85</v>
      </c>
      <c r="O4" s="20" t="s">
        <v>45</v>
      </c>
      <c r="P4" s="20" t="s">
        <v>72</v>
      </c>
      <c r="Q4" s="20" t="s">
        <v>46</v>
      </c>
      <c r="R4" s="20" t="s">
        <v>47</v>
      </c>
      <c r="S4" s="31" t="s">
        <v>48</v>
      </c>
      <c r="T4" s="19" t="s">
        <v>18</v>
      </c>
      <c r="U4" s="20" t="s">
        <v>19</v>
      </c>
      <c r="V4" s="20" t="s">
        <v>6</v>
      </c>
      <c r="W4" s="20" t="s">
        <v>7</v>
      </c>
      <c r="X4" s="20" t="s">
        <v>10</v>
      </c>
      <c r="Y4" s="20" t="s">
        <v>8</v>
      </c>
      <c r="Z4" s="20" t="s">
        <v>68</v>
      </c>
      <c r="AA4" s="20" t="s">
        <v>9</v>
      </c>
      <c r="AB4" s="20" t="s">
        <v>12</v>
      </c>
      <c r="AC4" s="31" t="s">
        <v>11</v>
      </c>
      <c r="AD4" s="234"/>
      <c r="AE4" s="234"/>
      <c r="AF4" s="19" t="s">
        <v>37</v>
      </c>
      <c r="AG4" s="174" t="s">
        <v>38</v>
      </c>
      <c r="AH4" s="174" t="s">
        <v>39</v>
      </c>
      <c r="AI4" s="20" t="s">
        <v>10</v>
      </c>
      <c r="AJ4" s="174" t="s">
        <v>8</v>
      </c>
      <c r="AK4" s="20" t="s">
        <v>68</v>
      </c>
      <c r="AL4" s="174" t="s">
        <v>35</v>
      </c>
      <c r="AM4" s="20" t="s">
        <v>11</v>
      </c>
      <c r="AN4" s="225"/>
      <c r="AO4" s="225"/>
      <c r="AP4" s="225"/>
      <c r="AQ4" s="240"/>
      <c r="AR4" s="225"/>
      <c r="AS4" s="242"/>
      <c r="AT4" s="168"/>
      <c r="AU4" s="228"/>
      <c r="AV4" s="225"/>
      <c r="AW4" s="19" t="s">
        <v>37</v>
      </c>
      <c r="AX4" s="20" t="s">
        <v>38</v>
      </c>
      <c r="AY4" s="20" t="s">
        <v>39</v>
      </c>
      <c r="AZ4" s="20" t="s">
        <v>10</v>
      </c>
      <c r="BA4" s="20" t="s">
        <v>35</v>
      </c>
      <c r="BB4" s="31" t="s">
        <v>11</v>
      </c>
      <c r="BC4" s="19" t="s">
        <v>37</v>
      </c>
      <c r="BD4" s="20" t="s">
        <v>38</v>
      </c>
      <c r="BE4" s="20" t="s">
        <v>39</v>
      </c>
      <c r="BF4" s="20" t="s">
        <v>10</v>
      </c>
      <c r="BG4" s="20" t="s">
        <v>35</v>
      </c>
      <c r="BH4" s="31" t="s">
        <v>11</v>
      </c>
      <c r="BI4" s="225"/>
      <c r="BJ4" s="219"/>
    </row>
    <row r="5" spans="1:62" ht="15.75" thickBot="1" x14ac:dyDescent="0.3">
      <c r="B5" s="11" t="s">
        <v>2</v>
      </c>
      <c r="C5" s="94">
        <v>0.20019999999999999</v>
      </c>
      <c r="G5" s="58" t="s">
        <v>32</v>
      </c>
      <c r="H5" s="58"/>
      <c r="I5" s="187">
        <v>37939</v>
      </c>
      <c r="J5" s="78"/>
      <c r="K5" s="81">
        <v>29</v>
      </c>
      <c r="L5" s="59"/>
      <c r="M5" s="81"/>
      <c r="N5" s="81">
        <v>47816</v>
      </c>
      <c r="O5" s="81"/>
      <c r="P5" s="59"/>
      <c r="Q5" s="81"/>
      <c r="R5" s="81"/>
      <c r="S5" s="60"/>
      <c r="T5" s="61">
        <f>I5*$D$9</f>
        <v>5.670961094415214E-6</v>
      </c>
      <c r="U5" s="62">
        <f>J5*$D$10</f>
        <v>0</v>
      </c>
      <c r="V5" s="62">
        <f>K5*$D$11</f>
        <v>4.2905645955268682E-9</v>
      </c>
      <c r="W5" s="62">
        <f>L5*$D$12</f>
        <v>0</v>
      </c>
      <c r="X5" s="62">
        <f>M5*$D$13</f>
        <v>0</v>
      </c>
      <c r="Y5" s="62">
        <f t="shared" ref="Y5:Z7" si="0">O5*$D$14</f>
        <v>0</v>
      </c>
      <c r="Z5" s="62">
        <f t="shared" si="0"/>
        <v>0</v>
      </c>
      <c r="AA5" s="62">
        <f t="shared" ref="AA5:AA7" si="1">Q5*$D$15</f>
        <v>0</v>
      </c>
      <c r="AB5" s="62">
        <f t="shared" ref="AB5:AB28" si="2">R5*$D$16</f>
        <v>0</v>
      </c>
      <c r="AC5" s="63">
        <f t="shared" ref="AC5:AC28" si="3">S5*$D$19</f>
        <v>0</v>
      </c>
      <c r="AD5" s="63"/>
      <c r="AE5" s="64"/>
      <c r="AF5" s="66"/>
      <c r="AG5" s="58"/>
      <c r="AH5" s="58"/>
      <c r="AI5" s="67"/>
      <c r="AJ5" s="58"/>
      <c r="AK5" s="67"/>
      <c r="AL5" s="58"/>
      <c r="AM5" s="145"/>
      <c r="AN5" s="145"/>
      <c r="AO5" s="58"/>
      <c r="AP5" s="67"/>
      <c r="AQ5" s="172"/>
      <c r="AR5" s="172"/>
      <c r="AS5" s="173"/>
      <c r="AT5" s="173"/>
      <c r="AU5" s="58"/>
      <c r="AV5" s="104"/>
      <c r="AW5" s="50"/>
      <c r="AX5" s="103"/>
      <c r="AY5" s="103"/>
      <c r="AZ5" s="103"/>
      <c r="BA5" s="103"/>
      <c r="BB5" s="104"/>
      <c r="BC5" s="105"/>
      <c r="BD5" s="103"/>
      <c r="BE5" s="103"/>
      <c r="BF5" s="103"/>
      <c r="BG5" s="103"/>
      <c r="BH5" s="104"/>
      <c r="BI5" s="3"/>
    </row>
    <row r="6" spans="1:62" ht="15.75" thickBot="1" x14ac:dyDescent="0.3">
      <c r="B6" s="12" t="s">
        <v>3</v>
      </c>
      <c r="C6" s="46">
        <v>1</v>
      </c>
      <c r="G6" s="51" t="s">
        <v>32</v>
      </c>
      <c r="H6" s="57"/>
      <c r="I6" s="188">
        <v>37759</v>
      </c>
      <c r="J6" s="79"/>
      <c r="K6" s="82">
        <v>27</v>
      </c>
      <c r="L6" s="52"/>
      <c r="M6" s="82"/>
      <c r="N6" s="82">
        <v>47330</v>
      </c>
      <c r="O6" s="82"/>
      <c r="P6" s="52"/>
      <c r="Q6" s="82"/>
      <c r="R6" s="82"/>
      <c r="S6" s="53"/>
      <c r="T6" s="54">
        <f>I6*$D$9</f>
        <v>5.6440554564965884E-6</v>
      </c>
      <c r="U6" s="162">
        <f t="shared" ref="U6:U28" si="4">J6*$D$10</f>
        <v>0</v>
      </c>
      <c r="V6" s="162">
        <f t="shared" ref="V6:V7" si="5">K6*$D$11</f>
        <v>3.9946635889388083E-9</v>
      </c>
      <c r="W6" s="162">
        <f t="shared" ref="W6:W28" si="6">L6*$D$12</f>
        <v>0</v>
      </c>
      <c r="X6" s="162">
        <f t="shared" ref="X6:X28" si="7">M6*$D$13</f>
        <v>0</v>
      </c>
      <c r="Y6" s="162">
        <f t="shared" si="0"/>
        <v>0</v>
      </c>
      <c r="Z6" s="62">
        <f t="shared" si="0"/>
        <v>0</v>
      </c>
      <c r="AA6" s="162">
        <f t="shared" si="1"/>
        <v>0</v>
      </c>
      <c r="AB6" s="162">
        <f t="shared" si="2"/>
        <v>0</v>
      </c>
      <c r="AC6" s="55">
        <f t="shared" si="3"/>
        <v>0</v>
      </c>
      <c r="AD6" s="55"/>
      <c r="AE6" s="49"/>
      <c r="AF6" s="57"/>
      <c r="AG6" s="51"/>
      <c r="AH6" s="51"/>
      <c r="AI6" s="150"/>
      <c r="AJ6" s="51"/>
      <c r="AK6" s="150"/>
      <c r="AL6" s="51"/>
      <c r="AM6" s="146"/>
      <c r="AN6" s="146"/>
      <c r="AO6" s="51"/>
      <c r="AP6" s="150"/>
      <c r="AQ6" s="68"/>
      <c r="AR6" s="68"/>
      <c r="AS6" s="77"/>
      <c r="AT6" s="150"/>
      <c r="AU6" s="51"/>
      <c r="AV6" s="107"/>
      <c r="AW6" s="76"/>
      <c r="AX6" s="106"/>
      <c r="AY6" s="106"/>
      <c r="AZ6" s="106"/>
      <c r="BA6" s="106"/>
      <c r="BB6" s="107"/>
      <c r="BC6" s="108"/>
      <c r="BD6" s="106"/>
      <c r="BE6" s="106"/>
      <c r="BF6" s="106"/>
      <c r="BG6" s="106"/>
      <c r="BH6" s="107"/>
      <c r="BI6" s="3"/>
    </row>
    <row r="7" spans="1:62" ht="15.75" thickBot="1" x14ac:dyDescent="0.3">
      <c r="E7" s="182"/>
      <c r="F7" s="183" t="s">
        <v>92</v>
      </c>
      <c r="G7" s="68" t="s">
        <v>32</v>
      </c>
      <c r="H7" s="76"/>
      <c r="I7" s="188">
        <v>37413</v>
      </c>
      <c r="J7" s="80"/>
      <c r="K7" s="83">
        <v>23</v>
      </c>
      <c r="L7" s="69"/>
      <c r="M7" s="83"/>
      <c r="N7" s="83">
        <v>47472</v>
      </c>
      <c r="O7" s="83"/>
      <c r="P7" s="69"/>
      <c r="Q7" s="83"/>
      <c r="R7" s="83"/>
      <c r="S7" s="70"/>
      <c r="T7" s="71">
        <f t="shared" ref="T7:T28" si="8">I7*$D$9</f>
        <v>5.592336841386341E-6</v>
      </c>
      <c r="U7" s="72">
        <f t="shared" si="4"/>
        <v>0</v>
      </c>
      <c r="V7" s="72">
        <f t="shared" si="5"/>
        <v>3.4028615757626883E-9</v>
      </c>
      <c r="W7" s="72">
        <f t="shared" si="6"/>
        <v>0</v>
      </c>
      <c r="X7" s="72">
        <f t="shared" si="7"/>
        <v>0</v>
      </c>
      <c r="Y7" s="72">
        <f t="shared" si="0"/>
        <v>0</v>
      </c>
      <c r="Z7" s="62">
        <f t="shared" si="0"/>
        <v>0</v>
      </c>
      <c r="AA7" s="72">
        <f t="shared" si="1"/>
        <v>0</v>
      </c>
      <c r="AB7" s="72">
        <f t="shared" si="2"/>
        <v>0</v>
      </c>
      <c r="AC7" s="73">
        <f t="shared" si="3"/>
        <v>0</v>
      </c>
      <c r="AD7" s="73"/>
      <c r="AE7" s="74"/>
      <c r="AF7" s="76"/>
      <c r="AG7" s="68"/>
      <c r="AH7" s="68"/>
      <c r="AI7" s="77"/>
      <c r="AJ7" s="68"/>
      <c r="AK7" s="77"/>
      <c r="AL7" s="68"/>
      <c r="AM7" s="147"/>
      <c r="AN7" s="147"/>
      <c r="AO7" s="68"/>
      <c r="AP7" s="77"/>
      <c r="AQ7" s="68"/>
      <c r="AR7" s="68"/>
      <c r="AS7" s="77"/>
      <c r="AT7" s="77"/>
      <c r="AU7" s="68"/>
      <c r="AV7" s="107"/>
      <c r="AW7" s="76"/>
      <c r="AX7" s="106"/>
      <c r="AY7" s="106"/>
      <c r="AZ7" s="106"/>
      <c r="BA7" s="106"/>
      <c r="BB7" s="107"/>
      <c r="BC7" s="108"/>
      <c r="BD7" s="106"/>
      <c r="BE7" s="106"/>
      <c r="BF7" s="106"/>
      <c r="BG7" s="106"/>
      <c r="BH7" s="107"/>
      <c r="BI7" s="3"/>
    </row>
    <row r="8" spans="1:62" ht="15.75" thickBot="1" x14ac:dyDescent="0.3">
      <c r="B8" s="8" t="s">
        <v>4</v>
      </c>
      <c r="C8" s="16" t="s">
        <v>14</v>
      </c>
      <c r="D8" s="9" t="s">
        <v>5</v>
      </c>
      <c r="F8" s="184">
        <f>I8/N8</f>
        <v>0.62542041282891125</v>
      </c>
      <c r="G8" s="17">
        <v>1</v>
      </c>
      <c r="H8" s="17">
        <v>1</v>
      </c>
      <c r="I8" s="40">
        <v>28451</v>
      </c>
      <c r="J8" s="41">
        <v>2141</v>
      </c>
      <c r="K8" s="41">
        <v>16</v>
      </c>
      <c r="L8" s="41">
        <v>74</v>
      </c>
      <c r="M8" s="41">
        <v>26</v>
      </c>
      <c r="N8" s="41">
        <v>45491</v>
      </c>
      <c r="O8" s="41">
        <v>2859</v>
      </c>
      <c r="P8" s="41">
        <v>621</v>
      </c>
      <c r="Q8" s="41">
        <v>31</v>
      </c>
      <c r="R8" s="41"/>
      <c r="S8" s="42">
        <v>9</v>
      </c>
      <c r="T8" s="32">
        <f>I8*$D$9</f>
        <v>4.2527350245712136E-6</v>
      </c>
      <c r="U8" s="163">
        <f t="shared" si="4"/>
        <v>3.3652388430385492E-7</v>
      </c>
      <c r="V8" s="163">
        <f>K8*$D$11</f>
        <v>2.3672080527044789E-9</v>
      </c>
      <c r="W8" s="163">
        <f t="shared" si="6"/>
        <v>1.1512684524364309E-8</v>
      </c>
      <c r="X8" s="163">
        <f t="shared" si="7"/>
        <v>5.3243267925635869E-9</v>
      </c>
      <c r="Y8" s="163">
        <f>O8*$D$14</f>
        <v>3.6374291994970213E-7</v>
      </c>
      <c r="Z8" s="163">
        <f>P8*$D$17</f>
        <v>5.4318115734881408E-8</v>
      </c>
      <c r="AA8" s="163">
        <f>Q8*$D$15</f>
        <v>3.370550413372073E-9</v>
      </c>
      <c r="AB8" s="163">
        <f t="shared" si="2"/>
        <v>0</v>
      </c>
      <c r="AC8" s="33">
        <f t="shared" si="3"/>
        <v>9.0025956000000006E-10</v>
      </c>
      <c r="AD8" s="37">
        <f>(Branco!$F$19-'MoVOx_N2N2 (2.1)'!F8)/Branco!$F$19*100</f>
        <v>-577.7008158795104</v>
      </c>
      <c r="AE8" s="37">
        <f>((Branco2!$P$10-T8)/(Branco2!$P$10))*100</f>
        <v>24.540495619347361</v>
      </c>
      <c r="AF8" s="39">
        <f t="shared" ref="AF8:AF28" si="9">(U8/SUM(U8,V8,W8,X8,Y8,Z8,AA8,AC8))*100</f>
        <v>43.251665195338362</v>
      </c>
      <c r="AG8" s="38">
        <v>0</v>
      </c>
      <c r="AH8" s="38">
        <f t="shared" ref="AH8:AH28" si="10">(W8/SUM(U8,V8,W8,X8,Y8,Z8,AA8,AC8))*100</f>
        <v>1.4796654851925897</v>
      </c>
      <c r="AI8" s="23">
        <f t="shared" ref="AI8:AI28" si="11">(X8/SUM(U8,V8,W8,X8,Y8,Z8,AA8,AC8))*100</f>
        <v>0.68430804042009596</v>
      </c>
      <c r="AJ8" s="38">
        <f t="shared" ref="AJ8:AJ28" si="12">(Y8/SUM(U8,V8,W8,X8,Y8,Z8,AA8,AC8))*100</f>
        <v>46.749986329749085</v>
      </c>
      <c r="AK8" s="23">
        <f t="shared" ref="AK8:AK28" si="13">(Z8/SUM(U8,V8,W8,X8,Y8,Z8,AA8,AC8))*100</f>
        <v>6.981225004776932</v>
      </c>
      <c r="AL8" s="38">
        <f t="shared" ref="AL8:AL28" si="14">(AA8/SUM(U8,V8,W8,X8,Y8,Z8,AA8,AC8))*100</f>
        <v>0.43319932047244669</v>
      </c>
      <c r="AM8" s="151">
        <f t="shared" ref="AM8:AM25" si="15">(AC8/SUM(U8,V8,W8,X8,Y8,Z8,AA8,AC8))*100</f>
        <v>0.11570568061928374</v>
      </c>
      <c r="AN8" s="38">
        <f>(U8/(U8+(V8*2/3)+(W8*2/3)+(X8*1/3)+(Y8*1/3)+(AA8*1/3)))*100</f>
        <v>71.612546769263091</v>
      </c>
      <c r="AO8" s="38">
        <f t="shared" ref="AO8:AO28" si="16">(V8/(AVERAGE($T$5:$T$7)-T8))*100*2/3</f>
        <v>0.11410573307786982</v>
      </c>
      <c r="AP8" s="23">
        <f t="shared" ref="AP8:AP28" si="17">(W8/(AVERAGE($T$5:$T$7)-T8))*100*(2/3)</f>
        <v>0.55494205752046488</v>
      </c>
      <c r="AQ8" s="38">
        <f>(Y8/(SUM(U8*3)+(V8*2)+(W8*2)+(X8)+Y8+AA8))*100</f>
        <v>25.801592974370223</v>
      </c>
      <c r="AR8" s="38">
        <f>(AA8/(SUM(V8*2)+(W8*2)+(X8)+(Y8)+(U8*3)+AA8)*100)</f>
        <v>0.23908525800982469</v>
      </c>
      <c r="AS8" s="38">
        <f>(X8/(SUM(W8*2)+(U8*3)+(X8)+(Y8)+AA8+(V8*2))*100)</f>
        <v>0.37767364044709367</v>
      </c>
      <c r="AT8" s="38">
        <f>AN8*AU8/100</f>
        <v>370.55104006002807</v>
      </c>
      <c r="AU8" s="38">
        <f>((T8*3)+(U8*3)+(V8*2)+(W8*2)+(X8)+(Y8)+(AA8))/((Branco!$P$7)*3)*100</f>
        <v>517.43871259592288</v>
      </c>
      <c r="AV8" s="151">
        <f>(AT8*AE8)/100</f>
        <v>90.935061753377269</v>
      </c>
      <c r="AW8" s="39">
        <f>((AV8/100)*($C$23/60)*1000)/$C$5</f>
        <v>0.55725843176682843</v>
      </c>
      <c r="AX8" s="23">
        <f t="shared" ref="AX8:BA28" si="18">(AG8/100)*(($AE8/100)*($C$26))/($C$5/1000)</f>
        <v>0</v>
      </c>
      <c r="AY8" s="23">
        <f t="shared" si="18"/>
        <v>1.2016165884989809</v>
      </c>
      <c r="AZ8" s="23">
        <f t="shared" si="18"/>
        <v>0.55571742481037389</v>
      </c>
      <c r="BA8" s="23">
        <f t="shared" si="18"/>
        <v>37.965039833726614</v>
      </c>
      <c r="BB8" s="151">
        <f t="shared" ref="BB8:BB28" si="19">(AM8/100)*(($AE8/100)*($C$26))/($C$5/1000)</f>
        <v>9.3963038678029354E-2</v>
      </c>
      <c r="BC8" s="39">
        <f>AW8*42.8</f>
        <v>23.850660879620257</v>
      </c>
      <c r="BD8" s="23">
        <f>AX8*30.07</f>
        <v>0</v>
      </c>
      <c r="BE8">
        <f>AY8*28.05</f>
        <v>33.705345307396414</v>
      </c>
      <c r="BF8">
        <f>AZ8*16.04</f>
        <v>8.9137074939583965</v>
      </c>
      <c r="BG8">
        <f>BA8*28.01</f>
        <v>1063.4007657426826</v>
      </c>
      <c r="BH8" s="14">
        <f>BB8*2</f>
        <v>0.18792607735605871</v>
      </c>
      <c r="BI8" s="109">
        <f t="shared" ref="BI8:BI16" si="20">U8*3+V8*2+W8*2+X8+Y8+AA8</f>
        <v>1.4097692352213402E-6</v>
      </c>
      <c r="BJ8" s="1">
        <f t="shared" ref="BJ8:BJ16" si="21">(BI8/((3*T8)+BI8))*100</f>
        <v>9.9503937858799922</v>
      </c>
    </row>
    <row r="9" spans="1:62" x14ac:dyDescent="0.25">
      <c r="B9" s="4" t="s">
        <v>18</v>
      </c>
      <c r="C9" s="3" t="s">
        <v>15</v>
      </c>
      <c r="D9" s="29">
        <v>1.4947576621458694E-10</v>
      </c>
      <c r="E9" s="149">
        <f>D9/$D$18</f>
        <v>1.3432113775785175</v>
      </c>
      <c r="F9" s="185">
        <f t="shared" ref="F9:F28" si="22">I9/N9</f>
        <v>0.77138266496456398</v>
      </c>
      <c r="G9" s="17">
        <v>2</v>
      </c>
      <c r="H9" s="17">
        <v>15</v>
      </c>
      <c r="I9" s="40">
        <v>35047</v>
      </c>
      <c r="J9" s="41">
        <v>1116</v>
      </c>
      <c r="K9" s="41">
        <v>38</v>
      </c>
      <c r="L9" s="41">
        <v>62</v>
      </c>
      <c r="M9" s="41">
        <v>32</v>
      </c>
      <c r="N9" s="41">
        <v>45434</v>
      </c>
      <c r="O9" s="41">
        <v>61</v>
      </c>
      <c r="P9" s="41">
        <v>1056</v>
      </c>
      <c r="Q9" s="41">
        <v>46</v>
      </c>
      <c r="R9" s="41"/>
      <c r="S9" s="42">
        <v>1260</v>
      </c>
      <c r="T9" s="32">
        <f t="shared" si="8"/>
        <v>5.238677178522629E-6</v>
      </c>
      <c r="U9" s="163">
        <f t="shared" si="4"/>
        <v>1.7541366412101918E-7</v>
      </c>
      <c r="V9" s="163">
        <f t="shared" ref="V9:V28" si="23">K9*$D$11</f>
        <v>5.6221191251731373E-9</v>
      </c>
      <c r="W9" s="163">
        <f t="shared" si="6"/>
        <v>9.6457627096025292E-9</v>
      </c>
      <c r="X9" s="163">
        <f t="shared" si="7"/>
        <v>6.553017590847492E-9</v>
      </c>
      <c r="Y9" s="163">
        <f t="shared" ref="Y9:Y28" si="24">O9*$D$14</f>
        <v>7.7608667775207511E-9</v>
      </c>
      <c r="Z9" s="163">
        <f t="shared" ref="Z9:Z28" si="25">P9*$D$17</f>
        <v>9.2367037384919112E-8</v>
      </c>
      <c r="AA9" s="163">
        <f t="shared" ref="AA9:AA28" si="26">Q9*$D$15</f>
        <v>5.0014619037133986E-9</v>
      </c>
      <c r="AB9" s="163">
        <f t="shared" si="2"/>
        <v>0</v>
      </c>
      <c r="AC9" s="33">
        <f t="shared" si="3"/>
        <v>1.2603633839999999E-7</v>
      </c>
      <c r="AD9" s="37">
        <f>(Branco!$F$19-'MoVOx_N2N2 (2.1)'!F9)/Branco!$F$19*100</f>
        <v>-735.86440525215642</v>
      </c>
      <c r="AE9" s="37">
        <f>((Branco2!$P$10-T9)/(Branco2!$P$10))*100</f>
        <v>7.0461758803299368</v>
      </c>
      <c r="AF9" s="39">
        <f t="shared" si="9"/>
        <v>40.946207838455386</v>
      </c>
      <c r="AG9" s="38">
        <v>0</v>
      </c>
      <c r="AH9" s="38">
        <f t="shared" si="10"/>
        <v>2.2515771883957894</v>
      </c>
      <c r="AI9" s="23">
        <f t="shared" si="11"/>
        <v>1.5296483406148953</v>
      </c>
      <c r="AJ9" s="38">
        <f t="shared" si="12"/>
        <v>1.8115924188191561</v>
      </c>
      <c r="AK9" s="23">
        <f t="shared" si="13"/>
        <v>21.560919607585365</v>
      </c>
      <c r="AL9" s="38">
        <f t="shared" si="14"/>
        <v>1.1674740370526597</v>
      </c>
      <c r="AM9" s="151">
        <f t="shared" si="15"/>
        <v>29.420228653133218</v>
      </c>
      <c r="AN9" s="38">
        <f>(U9/(U9+(V9*2/3)+(W9*2/3)+(X9*1/3)+(Y9*1/3)+(AA9*1/3)))*100</f>
        <v>91.346677077814348</v>
      </c>
      <c r="AO9" s="38">
        <f t="shared" si="16"/>
        <v>0.94384554323611558</v>
      </c>
      <c r="AP9" s="23">
        <f t="shared" si="17"/>
        <v>1.6193378229585447</v>
      </c>
      <c r="AQ9" s="38">
        <f t="shared" ref="AQ9:AQ28" si="27">(Y9/(SUM(U9*3)+(V9*2)+(W9*2)+(X9)+Y9+AA9))*100</f>
        <v>1.3471572942022541</v>
      </c>
      <c r="AR9" s="38">
        <f t="shared" ref="AR9:AR28" si="28">(AA9/(SUM(V9*2)+(W9*2)+(X9)+(Y9)+(U9*3)+AA9)*100)</f>
        <v>0.86817053795821086</v>
      </c>
      <c r="AS9" s="38">
        <f t="shared" ref="AS9:AS28" si="29">(X9/(SUM(W9*2)+(U9*3)+(X9)+(Y9)+AA9+(V9*2))*100)</f>
        <v>1.1374947798506101</v>
      </c>
      <c r="AT9" s="38">
        <f t="shared" ref="AT9:AT28" si="30">AN9*AU9/100</f>
        <v>543.52760708577568</v>
      </c>
      <c r="AU9" s="38">
        <f>((T9*3)+(U9*3)+(V9*2)+(W9*2)+(X9)+(Y9)+(AA9))/((Branco!$P$7)*3)*100</f>
        <v>595.01628791900953</v>
      </c>
      <c r="AV9" s="151">
        <f t="shared" ref="AV9:AV28" si="31">(AT9*AE9)/100</f>
        <v>38.2979111534124</v>
      </c>
      <c r="AW9" s="39">
        <f t="shared" ref="AW9:AW28" si="32">((AV9/100)*($C$23/60)*1000)/$C$5</f>
        <v>0.2346931260373098</v>
      </c>
      <c r="AX9" s="23">
        <f t="shared" si="18"/>
        <v>0</v>
      </c>
      <c r="AY9" s="23">
        <f t="shared" si="18"/>
        <v>0.52500007039895635</v>
      </c>
      <c r="AZ9" s="23">
        <f t="shared" si="18"/>
        <v>0.35666797951556678</v>
      </c>
      <c r="BA9" s="23">
        <f t="shared" si="18"/>
        <v>0.42240885736273842</v>
      </c>
      <c r="BB9" s="151">
        <f t="shared" si="19"/>
        <v>6.8599123288565007</v>
      </c>
      <c r="BC9" s="39">
        <f t="shared" ref="BC9:BC28" si="33">AW9*42.8</f>
        <v>10.044865794396859</v>
      </c>
      <c r="BD9" s="23">
        <f t="shared" ref="BD9:BD28" si="34">AX9*30.07</f>
        <v>0</v>
      </c>
      <c r="BE9">
        <f t="shared" ref="BE9:BE28" si="35">AY9*28.05</f>
        <v>14.726251974690726</v>
      </c>
      <c r="BF9">
        <f t="shared" ref="BF9:BF28" si="36">AZ9*16.04</f>
        <v>5.7209543914296912</v>
      </c>
      <c r="BG9">
        <f t="shared" ref="BG9:BG28" si="37">BA9*28.01</f>
        <v>11.831672094730305</v>
      </c>
      <c r="BH9" s="14">
        <f t="shared" ref="BH9:BH28" si="38">BB9*2</f>
        <v>13.719824657713001</v>
      </c>
      <c r="BI9" s="109">
        <f t="shared" si="20"/>
        <v>5.7609210230469058E-7</v>
      </c>
      <c r="BJ9" s="1">
        <f t="shared" si="21"/>
        <v>3.5360160228928663</v>
      </c>
    </row>
    <row r="10" spans="1:62" x14ac:dyDescent="0.25">
      <c r="B10" s="4" t="s">
        <v>19</v>
      </c>
      <c r="C10" s="3" t="s">
        <v>15</v>
      </c>
      <c r="D10" s="29">
        <f>(D9)*(D12/D11)</f>
        <v>1.5718070261740071E-10</v>
      </c>
      <c r="E10" s="149">
        <f t="shared" ref="E10:E19" si="39">D10/$D$18</f>
        <v>1.4124490774536989</v>
      </c>
      <c r="F10" s="185">
        <f t="shared" si="22"/>
        <v>0.78927876068737834</v>
      </c>
      <c r="G10" s="17">
        <v>3</v>
      </c>
      <c r="H10" s="17">
        <v>30</v>
      </c>
      <c r="I10" s="40">
        <v>37295</v>
      </c>
      <c r="J10" s="41">
        <v>421</v>
      </c>
      <c r="K10" s="41">
        <v>17</v>
      </c>
      <c r="L10" s="41">
        <v>26</v>
      </c>
      <c r="M10" s="41">
        <v>12</v>
      </c>
      <c r="N10" s="41">
        <v>47252</v>
      </c>
      <c r="O10" s="41">
        <v>11</v>
      </c>
      <c r="P10" s="41">
        <v>27</v>
      </c>
      <c r="Q10" s="41">
        <v>17</v>
      </c>
      <c r="R10" s="41"/>
      <c r="S10" s="42">
        <v>462</v>
      </c>
      <c r="T10" s="32">
        <f t="shared" si="8"/>
        <v>5.5746987009730199E-6</v>
      </c>
      <c r="U10" s="163">
        <f t="shared" si="4"/>
        <v>6.6173075801925704E-8</v>
      </c>
      <c r="V10" s="163">
        <f t="shared" si="23"/>
        <v>2.5151585559985088E-9</v>
      </c>
      <c r="W10" s="163">
        <f t="shared" si="6"/>
        <v>4.0449972653171895E-9</v>
      </c>
      <c r="X10" s="163">
        <f t="shared" si="7"/>
        <v>2.4573815965678094E-9</v>
      </c>
      <c r="Y10" s="163">
        <f t="shared" si="24"/>
        <v>1.3995005664381684E-9</v>
      </c>
      <c r="Z10" s="163">
        <f t="shared" si="25"/>
        <v>2.3616572058644093E-9</v>
      </c>
      <c r="AA10" s="163">
        <f t="shared" si="26"/>
        <v>1.848366355720169E-9</v>
      </c>
      <c r="AB10" s="163">
        <f t="shared" si="2"/>
        <v>0</v>
      </c>
      <c r="AC10" s="33">
        <f t="shared" si="3"/>
        <v>4.6213324080000001E-8</v>
      </c>
      <c r="AD10" s="37">
        <f>(Branco!$F$19-'MoVOx_N2N2 (2.1)'!F10)/Branco!$F$19*100</f>
        <v>-755.25647884558236</v>
      </c>
      <c r="AE10" s="37">
        <f>((Branco2!$P$10-T10)/(Branco2!$P$10))*100</f>
        <v>1.0838910450796173</v>
      </c>
      <c r="AF10" s="39">
        <f t="shared" si="9"/>
        <v>52.099261808973473</v>
      </c>
      <c r="AG10" s="38">
        <v>0</v>
      </c>
      <c r="AH10" s="38">
        <f t="shared" si="10"/>
        <v>3.1846996529698748</v>
      </c>
      <c r="AI10" s="23">
        <f t="shared" si="11"/>
        <v>1.9347410651933725</v>
      </c>
      <c r="AJ10" s="38">
        <f t="shared" si="12"/>
        <v>1.1018521585866341</v>
      </c>
      <c r="AK10" s="23">
        <f t="shared" si="13"/>
        <v>1.8593755176149454</v>
      </c>
      <c r="AL10" s="38">
        <f t="shared" si="14"/>
        <v>1.4552523291166237</v>
      </c>
      <c r="AM10" s="151">
        <f t="shared" si="15"/>
        <v>36.384587555121506</v>
      </c>
      <c r="AN10" s="38">
        <f t="shared" ref="AN10:AN28" si="40">(U10/(U10+(V10*2/3)+(W10*2/3)+(X10*1/3)+(Y10*1/3)+(AA10*1/3)))*100</f>
        <v>91.338388938569494</v>
      </c>
      <c r="AO10" s="38">
        <f t="shared" si="16"/>
        <v>2.7449478975929558</v>
      </c>
      <c r="AP10" s="23">
        <f t="shared" si="17"/>
        <v>4.4145553816958865</v>
      </c>
      <c r="AQ10" s="38">
        <f t="shared" si="27"/>
        <v>0.643908042195805</v>
      </c>
      <c r="AR10" s="38">
        <f t="shared" si="28"/>
        <v>0.85043049636018309</v>
      </c>
      <c r="AS10" s="38">
        <f t="shared" si="29"/>
        <v>1.1306374650502071</v>
      </c>
      <c r="AT10" s="38">
        <f t="shared" si="30"/>
        <v>565.13844064145644</v>
      </c>
      <c r="AU10" s="38">
        <f>((T10*3)+(U10*3)+(V10*2)+(W10*2)+(X10)+(Y10)+(AA10))/((Branco!$P$7)*3)*100</f>
        <v>618.73046723163213</v>
      </c>
      <c r="AV10" s="151">
        <f t="shared" si="31"/>
        <v>6.1254849504153341</v>
      </c>
      <c r="AW10" s="39">
        <f t="shared" si="32"/>
        <v>3.7537535813604743E-2</v>
      </c>
      <c r="AX10" s="23">
        <f t="shared" si="18"/>
        <v>0</v>
      </c>
      <c r="AY10" s="23">
        <f t="shared" si="18"/>
        <v>0.11422815205660142</v>
      </c>
      <c r="AZ10" s="23">
        <f t="shared" si="18"/>
        <v>6.9394894548051159E-2</v>
      </c>
      <c r="BA10" s="23">
        <f t="shared" si="18"/>
        <v>3.9521006572018846E-2</v>
      </c>
      <c r="BB10" s="151">
        <f t="shared" si="19"/>
        <v>1.3050349020785548</v>
      </c>
      <c r="BC10" s="39">
        <f t="shared" si="33"/>
        <v>1.6066065328222829</v>
      </c>
      <c r="BD10" s="23">
        <f t="shared" si="34"/>
        <v>0</v>
      </c>
      <c r="BE10">
        <f t="shared" si="35"/>
        <v>3.2040996651876696</v>
      </c>
      <c r="BF10">
        <f t="shared" si="36"/>
        <v>1.1130941085507404</v>
      </c>
      <c r="BG10">
        <f t="shared" si="37"/>
        <v>1.106983394082248</v>
      </c>
      <c r="BH10" s="14">
        <f t="shared" si="38"/>
        <v>2.6100698041571095</v>
      </c>
      <c r="BI10" s="109">
        <f t="shared" si="20"/>
        <v>2.1734478756713468E-7</v>
      </c>
      <c r="BJ10" s="1">
        <f t="shared" si="21"/>
        <v>1.2829179582309849</v>
      </c>
    </row>
    <row r="11" spans="1:62" x14ac:dyDescent="0.25">
      <c r="B11" s="4" t="s">
        <v>6</v>
      </c>
      <c r="C11" s="3" t="s">
        <v>15</v>
      </c>
      <c r="D11" s="29">
        <v>1.4795050329402993E-10</v>
      </c>
      <c r="E11" s="149">
        <f t="shared" si="39"/>
        <v>1.3295051390317978</v>
      </c>
      <c r="F11" s="185">
        <f t="shared" si="22"/>
        <v>0.66576038772977131</v>
      </c>
      <c r="G11" s="17">
        <v>4</v>
      </c>
      <c r="H11" s="17">
        <v>45</v>
      </c>
      <c r="I11" s="40">
        <v>33792</v>
      </c>
      <c r="J11" s="41">
        <v>190</v>
      </c>
      <c r="K11" s="41">
        <v>12</v>
      </c>
      <c r="L11" s="41">
        <v>18</v>
      </c>
      <c r="M11" s="41">
        <v>9</v>
      </c>
      <c r="N11" s="41">
        <v>50757</v>
      </c>
      <c r="O11" s="41">
        <v>7</v>
      </c>
      <c r="P11" s="41">
        <v>0</v>
      </c>
      <c r="Q11" s="41">
        <v>13</v>
      </c>
      <c r="R11" s="41"/>
      <c r="S11" s="42">
        <v>197</v>
      </c>
      <c r="T11" s="32">
        <f t="shared" si="8"/>
        <v>5.0510850919233219E-6</v>
      </c>
      <c r="U11" s="163">
        <f t="shared" si="4"/>
        <v>2.9864333497306132E-8</v>
      </c>
      <c r="V11" s="163">
        <f t="shared" si="23"/>
        <v>1.7754060395283593E-9</v>
      </c>
      <c r="W11" s="163">
        <f t="shared" si="6"/>
        <v>2.8003827221426698E-9</v>
      </c>
      <c r="X11" s="163">
        <f t="shared" si="7"/>
        <v>1.8430361974258571E-9</v>
      </c>
      <c r="Y11" s="163">
        <f t="shared" si="24"/>
        <v>8.9059126955156171E-10</v>
      </c>
      <c r="Z11" s="163">
        <f t="shared" si="25"/>
        <v>0</v>
      </c>
      <c r="AA11" s="163">
        <f t="shared" si="26"/>
        <v>1.4134566249624821E-9</v>
      </c>
      <c r="AB11" s="163">
        <f t="shared" si="2"/>
        <v>0</v>
      </c>
      <c r="AC11" s="33">
        <f t="shared" si="3"/>
        <v>1.9705681480000001E-8</v>
      </c>
      <c r="AD11" s="37">
        <f>(Branco!$F$19-'MoVOx_N2N2 (2.1)'!F11)/Branco!$F$19*100</f>
        <v>-621.41290672607261</v>
      </c>
      <c r="AE11" s="37">
        <f>((Branco2!$P$10-T11)/(Branco2!$P$10))*100</f>
        <v>10.374764611753061</v>
      </c>
      <c r="AF11" s="39">
        <f t="shared" si="9"/>
        <v>51.231521731999095</v>
      </c>
      <c r="AG11" s="38">
        <v>0</v>
      </c>
      <c r="AH11" s="38">
        <f t="shared" si="10"/>
        <v>4.8039869465129126</v>
      </c>
      <c r="AI11" s="23">
        <f t="shared" si="11"/>
        <v>3.1616827815628605</v>
      </c>
      <c r="AJ11" s="38">
        <f t="shared" si="12"/>
        <v>1.527787184149787</v>
      </c>
      <c r="AK11" s="23">
        <f t="shared" si="13"/>
        <v>0</v>
      </c>
      <c r="AL11" s="38">
        <f t="shared" si="14"/>
        <v>2.4247497037071146</v>
      </c>
      <c r="AM11" s="151">
        <f t="shared" si="15"/>
        <v>33.804606725194027</v>
      </c>
      <c r="AN11" s="38">
        <f t="shared" si="40"/>
        <v>87.075083303225881</v>
      </c>
      <c r="AO11" s="38">
        <f t="shared" si="16"/>
        <v>0.20242950183908237</v>
      </c>
      <c r="AP11" s="23">
        <f t="shared" si="17"/>
        <v>0.3192960183647382</v>
      </c>
      <c r="AQ11" s="38">
        <f t="shared" si="27"/>
        <v>0.86556213721542963</v>
      </c>
      <c r="AR11" s="38">
        <f t="shared" si="28"/>
        <v>1.3737329109231762</v>
      </c>
      <c r="AS11" s="38">
        <f t="shared" si="29"/>
        <v>1.7912396006448432</v>
      </c>
      <c r="AT11" s="38">
        <f t="shared" si="30"/>
        <v>485.16550874973916</v>
      </c>
      <c r="AU11" s="38">
        <f>((T11*3)+(U11*3)+(V11*2)+(W11*2)+(X11)+(Y11)+(AA11))/((Branco!$P$7)*3)*100</f>
        <v>557.18064266470265</v>
      </c>
      <c r="AV11" s="151">
        <f t="shared" si="31"/>
        <v>50.334779510199638</v>
      </c>
      <c r="AW11" s="39">
        <f t="shared" si="32"/>
        <v>0.3084561636880529</v>
      </c>
      <c r="AX11" s="23">
        <f t="shared" si="18"/>
        <v>0</v>
      </c>
      <c r="AY11" s="23">
        <f t="shared" si="18"/>
        <v>1.6492979259462102</v>
      </c>
      <c r="AZ11" s="23">
        <f t="shared" si="18"/>
        <v>1.0854644094977359</v>
      </c>
      <c r="BA11" s="23">
        <f t="shared" si="18"/>
        <v>0.52451771042685358</v>
      </c>
      <c r="BB11" s="151">
        <f t="shared" si="19"/>
        <v>11.605749220397044</v>
      </c>
      <c r="BC11" s="39">
        <f t="shared" si="33"/>
        <v>13.201923805848663</v>
      </c>
      <c r="BD11" s="23">
        <f t="shared" si="34"/>
        <v>0</v>
      </c>
      <c r="BE11">
        <f t="shared" si="35"/>
        <v>46.262806822791198</v>
      </c>
      <c r="BF11">
        <f t="shared" si="36"/>
        <v>17.410849128343685</v>
      </c>
      <c r="BG11">
        <f t="shared" si="37"/>
        <v>14.691741069056169</v>
      </c>
      <c r="BH11" s="14">
        <f t="shared" si="38"/>
        <v>23.211498440794088</v>
      </c>
      <c r="BI11" s="109">
        <f t="shared" si="20"/>
        <v>1.0289166210720035E-7</v>
      </c>
      <c r="BJ11" s="1">
        <f t="shared" si="21"/>
        <v>0.67442757680673815</v>
      </c>
    </row>
    <row r="12" spans="1:62" s="99" customFormat="1" x14ac:dyDescent="0.25">
      <c r="A12"/>
      <c r="B12" s="5" t="s">
        <v>7</v>
      </c>
      <c r="C12" s="3" t="s">
        <v>15</v>
      </c>
      <c r="D12" s="29">
        <f>(D9)*(1.02/0.98)</f>
        <v>1.5557681789681499E-10</v>
      </c>
      <c r="E12" s="149">
        <f t="shared" si="39"/>
        <v>1.3980363317653957</v>
      </c>
      <c r="F12" s="185">
        <f t="shared" si="22"/>
        <v>0.79103314661163293</v>
      </c>
      <c r="G12" s="84">
        <v>5</v>
      </c>
      <c r="H12" s="84">
        <v>60</v>
      </c>
      <c r="I12" s="85">
        <v>37563</v>
      </c>
      <c r="J12" s="86">
        <v>152</v>
      </c>
      <c r="K12" s="86">
        <v>14</v>
      </c>
      <c r="L12" s="86">
        <v>18</v>
      </c>
      <c r="M12" s="86">
        <v>9</v>
      </c>
      <c r="N12" s="86">
        <v>47486</v>
      </c>
      <c r="O12" s="86">
        <v>5</v>
      </c>
      <c r="P12" s="86">
        <v>0</v>
      </c>
      <c r="Q12" s="86">
        <v>11</v>
      </c>
      <c r="R12" s="86"/>
      <c r="S12" s="87">
        <v>119</v>
      </c>
      <c r="T12" s="88">
        <f t="shared" si="8"/>
        <v>5.6147582063185295E-6</v>
      </c>
      <c r="U12" s="164">
        <f t="shared" si="4"/>
        <v>2.3891466797844909E-8</v>
      </c>
      <c r="V12" s="164">
        <f t="shared" si="23"/>
        <v>2.0713070461164191E-9</v>
      </c>
      <c r="W12" s="164">
        <f t="shared" si="6"/>
        <v>2.8003827221426698E-9</v>
      </c>
      <c r="X12" s="164">
        <f t="shared" si="7"/>
        <v>1.8430361974258571E-9</v>
      </c>
      <c r="Y12" s="164">
        <f t="shared" si="24"/>
        <v>6.3613662110825832E-10</v>
      </c>
      <c r="Z12" s="164">
        <f t="shared" si="25"/>
        <v>0</v>
      </c>
      <c r="AA12" s="164">
        <f t="shared" si="26"/>
        <v>1.1960017595836388E-9</v>
      </c>
      <c r="AB12" s="164">
        <f t="shared" si="2"/>
        <v>0</v>
      </c>
      <c r="AC12" s="89">
        <f t="shared" si="3"/>
        <v>1.190343196E-8</v>
      </c>
      <c r="AD12" s="37">
        <f>(Branco!$F$19-'MoVOx_N2N2 (2.1)'!F12)/Branco!$F$19*100</f>
        <v>-757.15751812707458</v>
      </c>
      <c r="AE12" s="37">
        <f>((Branco2!$P$10-T12)/(Branco2!$P$10))*100</f>
        <v>0.37308484585937679</v>
      </c>
      <c r="AF12" s="92">
        <f t="shared" si="9"/>
        <v>53.880281534340291</v>
      </c>
      <c r="AG12" s="91">
        <v>0</v>
      </c>
      <c r="AH12" s="91">
        <f t="shared" si="10"/>
        <v>6.3154519037968679</v>
      </c>
      <c r="AI12" s="93">
        <f t="shared" si="11"/>
        <v>4.1564341794302324</v>
      </c>
      <c r="AJ12" s="91">
        <f t="shared" si="12"/>
        <v>1.4346218476091495</v>
      </c>
      <c r="AK12" s="93">
        <f t="shared" si="13"/>
        <v>0</v>
      </c>
      <c r="AL12" s="91">
        <f t="shared" si="14"/>
        <v>2.6972354634896516</v>
      </c>
      <c r="AM12" s="101">
        <f t="shared" si="15"/>
        <v>26.844742127240046</v>
      </c>
      <c r="AN12" s="38">
        <f t="shared" si="40"/>
        <v>84.230710765428313</v>
      </c>
      <c r="AO12" s="91">
        <f t="shared" si="16"/>
        <v>6.5673662830060993</v>
      </c>
      <c r="AP12" s="93">
        <f t="shared" si="17"/>
        <v>8.879001837701912</v>
      </c>
      <c r="AQ12" s="91">
        <f t="shared" si="27"/>
        <v>0.74757848612152289</v>
      </c>
      <c r="AR12" s="91">
        <f t="shared" si="28"/>
        <v>1.4055238374274552</v>
      </c>
      <c r="AS12" s="91">
        <f t="shared" si="29"/>
        <v>2.165909278950807</v>
      </c>
      <c r="AT12" s="38">
        <f t="shared" si="30"/>
        <v>520.78966486020693</v>
      </c>
      <c r="AU12" s="91">
        <f>((T12*3)+(U12*3)+(V12*2)+(W12*2)+(X12)+(Y12)+(AA12))/((Branco!$P$7)*3)*100</f>
        <v>618.28952899440571</v>
      </c>
      <c r="AV12" s="151">
        <f t="shared" si="31"/>
        <v>1.9429873183952679</v>
      </c>
      <c r="AW12" s="39">
        <f t="shared" si="32"/>
        <v>1.1906805198288324E-2</v>
      </c>
      <c r="AX12" s="93">
        <f t="shared" si="18"/>
        <v>0</v>
      </c>
      <c r="AY12" s="93">
        <f t="shared" si="18"/>
        <v>7.7970637170844626E-2</v>
      </c>
      <c r="AZ12" s="93">
        <f t="shared" si="18"/>
        <v>5.1315381110576472E-2</v>
      </c>
      <c r="BA12" s="93">
        <f t="shared" si="18"/>
        <v>1.7711856769909082E-2</v>
      </c>
      <c r="BB12" s="101">
        <f t="shared" si="19"/>
        <v>0.33142547520463944</v>
      </c>
      <c r="BC12" s="92">
        <f t="shared" si="33"/>
        <v>0.50961126248674027</v>
      </c>
      <c r="BD12" s="93">
        <f t="shared" si="34"/>
        <v>0</v>
      </c>
      <c r="BE12" s="99">
        <f t="shared" si="35"/>
        <v>2.187076372642192</v>
      </c>
      <c r="BF12" s="99">
        <f t="shared" si="36"/>
        <v>0.82309871301364657</v>
      </c>
      <c r="BG12" s="99">
        <f t="shared" si="37"/>
        <v>0.49610910812515341</v>
      </c>
      <c r="BH12" s="100">
        <f t="shared" si="38"/>
        <v>0.66285095040927888</v>
      </c>
      <c r="BI12" s="177">
        <f t="shared" si="20"/>
        <v>8.5092954508170652E-8</v>
      </c>
      <c r="BJ12" s="178">
        <f t="shared" si="21"/>
        <v>0.50263516424294019</v>
      </c>
    </row>
    <row r="13" spans="1:62" x14ac:dyDescent="0.25">
      <c r="B13" s="5" t="s">
        <v>10</v>
      </c>
      <c r="C13" s="3" t="s">
        <v>15</v>
      </c>
      <c r="D13" s="29">
        <f>D9*1.37</f>
        <v>2.0478179971398413E-10</v>
      </c>
      <c r="E13" s="149">
        <f t="shared" si="39"/>
        <v>1.8401995872825689</v>
      </c>
      <c r="F13" s="185">
        <f t="shared" si="22"/>
        <v>0.80031695721077656</v>
      </c>
      <c r="G13" s="17">
        <v>6</v>
      </c>
      <c r="H13" s="17">
        <v>75</v>
      </c>
      <c r="I13" s="40">
        <v>37875</v>
      </c>
      <c r="J13" s="41">
        <v>124</v>
      </c>
      <c r="K13" s="41">
        <v>16</v>
      </c>
      <c r="L13" s="41">
        <v>16</v>
      </c>
      <c r="M13" s="41">
        <v>9</v>
      </c>
      <c r="N13" s="41">
        <v>47325</v>
      </c>
      <c r="O13" s="41">
        <v>4</v>
      </c>
      <c r="P13" s="41">
        <v>0</v>
      </c>
      <c r="Q13" s="41">
        <v>12</v>
      </c>
      <c r="R13" s="41"/>
      <c r="S13" s="42">
        <v>92</v>
      </c>
      <c r="T13" s="32">
        <f t="shared" si="8"/>
        <v>5.6613946453774807E-6</v>
      </c>
      <c r="U13" s="163">
        <f t="shared" si="4"/>
        <v>1.9490407124557689E-8</v>
      </c>
      <c r="V13" s="163">
        <f t="shared" si="23"/>
        <v>2.3672080527044789E-9</v>
      </c>
      <c r="W13" s="163">
        <f t="shared" si="6"/>
        <v>2.4892290863490398E-9</v>
      </c>
      <c r="X13" s="163">
        <f t="shared" si="7"/>
        <v>1.8430361974258571E-9</v>
      </c>
      <c r="Y13" s="163">
        <f t="shared" si="24"/>
        <v>5.0890929688660667E-10</v>
      </c>
      <c r="Z13" s="163">
        <f t="shared" si="25"/>
        <v>0</v>
      </c>
      <c r="AA13" s="163">
        <f t="shared" si="26"/>
        <v>1.3047291922730605E-9</v>
      </c>
      <c r="AB13" s="163">
        <f t="shared" si="2"/>
        <v>0</v>
      </c>
      <c r="AC13" s="33">
        <f t="shared" si="3"/>
        <v>9.2026532800000004E-9</v>
      </c>
      <c r="AD13" s="37">
        <f>(Branco!$F$19-'MoVOx_N2N2 (2.1)'!F13)/Branco!$F$19*100</f>
        <v>-767.21738487982736</v>
      </c>
      <c r="AE13" s="37">
        <f>((Branco2!$P$10-T13)/(Branco2!$P$10))*100</f>
        <v>-0.45442087860597302</v>
      </c>
      <c r="AF13" s="39">
        <f t="shared" si="9"/>
        <v>52.384875831809353</v>
      </c>
      <c r="AG13" s="38">
        <v>0</v>
      </c>
      <c r="AH13" s="38">
        <f t="shared" si="10"/>
        <v>6.6903659719361501</v>
      </c>
      <c r="AI13" s="23">
        <f t="shared" si="11"/>
        <v>4.9535764819419903</v>
      </c>
      <c r="AJ13" s="38">
        <f t="shared" si="12"/>
        <v>1.3678087972553465</v>
      </c>
      <c r="AK13" s="23">
        <f t="shared" si="13"/>
        <v>0</v>
      </c>
      <c r="AL13" s="38">
        <f t="shared" si="14"/>
        <v>3.5067546970449572</v>
      </c>
      <c r="AM13" s="151">
        <f t="shared" si="15"/>
        <v>24.734211364347438</v>
      </c>
      <c r="AN13" s="38">
        <f t="shared" si="40"/>
        <v>81.390025605623663</v>
      </c>
      <c r="AO13" s="38">
        <f t="shared" si="16"/>
        <v>-6.1621535773842355</v>
      </c>
      <c r="AP13" s="23">
        <f t="shared" si="17"/>
        <v>-6.4797903597236282</v>
      </c>
      <c r="AQ13" s="38">
        <f t="shared" si="27"/>
        <v>0.7083850778460129</v>
      </c>
      <c r="AR13" s="38">
        <f t="shared" si="28"/>
        <v>1.8161403143756198</v>
      </c>
      <c r="AS13" s="38">
        <f t="shared" si="29"/>
        <v>2.5654460395472789</v>
      </c>
      <c r="AT13" s="38">
        <f t="shared" si="30"/>
        <v>506.99089339514057</v>
      </c>
      <c r="AU13" s="38">
        <f>((T13*3)+(U13*3)+(V13*2)+(W13*2)+(X13)+(Y13)+(AA13))/((Branco!$P$7)*3)*100</f>
        <v>622.91526464406218</v>
      </c>
      <c r="AV13" s="151">
        <f t="shared" si="31"/>
        <v>-2.3038724722184698</v>
      </c>
      <c r="AW13" s="39">
        <f t="shared" si="32"/>
        <v>-1.4118342651387148E-2</v>
      </c>
      <c r="AX13" s="23">
        <f t="shared" si="18"/>
        <v>0</v>
      </c>
      <c r="AY13" s="23">
        <f t="shared" si="18"/>
        <v>-0.1006067672263551</v>
      </c>
      <c r="AZ13" s="23">
        <f t="shared" si="18"/>
        <v>-7.4489694307778145E-2</v>
      </c>
      <c r="BA13" s="23">
        <f t="shared" si="18"/>
        <v>-2.056850430198599E-2</v>
      </c>
      <c r="BB13" s="151">
        <f t="shared" si="19"/>
        <v>-0.37194214123689168</v>
      </c>
      <c r="BC13" s="39">
        <f t="shared" si="33"/>
        <v>-0.60426506547936987</v>
      </c>
      <c r="BD13" s="23">
        <f t="shared" si="34"/>
        <v>0</v>
      </c>
      <c r="BE13">
        <f t="shared" si="35"/>
        <v>-2.8220198206992606</v>
      </c>
      <c r="BF13">
        <f t="shared" si="36"/>
        <v>-1.1948146966967614</v>
      </c>
      <c r="BG13">
        <f t="shared" si="37"/>
        <v>-0.57612380549862763</v>
      </c>
      <c r="BH13" s="14">
        <f t="shared" si="38"/>
        <v>-0.74388428247378335</v>
      </c>
      <c r="BI13" s="109">
        <f t="shared" si="20"/>
        <v>7.1840770338365629E-8</v>
      </c>
      <c r="BJ13" s="1">
        <f t="shared" si="21"/>
        <v>0.42120465685717651</v>
      </c>
    </row>
    <row r="14" spans="1:62" x14ac:dyDescent="0.25">
      <c r="B14" s="5" t="s">
        <v>8</v>
      </c>
      <c r="C14" s="3" t="s">
        <v>16</v>
      </c>
      <c r="D14" s="29">
        <f>(38.3/33.5)*D18</f>
        <v>1.2722732422165167E-10</v>
      </c>
      <c r="E14" s="148">
        <f t="shared" si="39"/>
        <v>1.1432835820895522</v>
      </c>
      <c r="F14" s="185">
        <f t="shared" si="22"/>
        <v>0.79138661216577821</v>
      </c>
      <c r="G14" s="17">
        <v>7</v>
      </c>
      <c r="H14" s="17">
        <v>90</v>
      </c>
      <c r="I14" s="40">
        <v>37560</v>
      </c>
      <c r="J14" s="41">
        <v>111</v>
      </c>
      <c r="K14" s="41">
        <v>17</v>
      </c>
      <c r="L14" s="41">
        <v>18</v>
      </c>
      <c r="M14" s="41">
        <v>9</v>
      </c>
      <c r="N14" s="41">
        <v>47461</v>
      </c>
      <c r="O14" s="41">
        <v>5</v>
      </c>
      <c r="P14" s="41">
        <v>0</v>
      </c>
      <c r="Q14" s="41">
        <v>12</v>
      </c>
      <c r="R14" s="41"/>
      <c r="S14" s="42">
        <v>77</v>
      </c>
      <c r="T14" s="32">
        <f t="shared" si="8"/>
        <v>5.6143097790198856E-6</v>
      </c>
      <c r="U14" s="163">
        <f t="shared" si="4"/>
        <v>1.7447057990531478E-8</v>
      </c>
      <c r="V14" s="163">
        <f t="shared" si="23"/>
        <v>2.5151585559985088E-9</v>
      </c>
      <c r="W14" s="163">
        <f t="shared" si="6"/>
        <v>2.8003827221426698E-9</v>
      </c>
      <c r="X14" s="163">
        <f t="shared" si="7"/>
        <v>1.8430361974258571E-9</v>
      </c>
      <c r="Y14" s="163">
        <f t="shared" si="24"/>
        <v>6.3613662110825832E-10</v>
      </c>
      <c r="Z14" s="163">
        <f t="shared" si="25"/>
        <v>0</v>
      </c>
      <c r="AA14" s="163">
        <f t="shared" si="26"/>
        <v>1.3047291922730605E-9</v>
      </c>
      <c r="AB14" s="163">
        <f t="shared" si="2"/>
        <v>0</v>
      </c>
      <c r="AC14" s="33">
        <f t="shared" si="3"/>
        <v>7.7022206799999996E-9</v>
      </c>
      <c r="AD14" s="37">
        <f>(Branco!$F$19-'MoVOx_N2N2 (2.1)'!F14)/Branco!$F$19*100</f>
        <v>-757.54053072070906</v>
      </c>
      <c r="AE14" s="37">
        <f>((Branco2!$P$10-T14)/(Branco2!$P$10))*100</f>
        <v>0.38104163167154703</v>
      </c>
      <c r="AF14" s="39">
        <f t="shared" si="9"/>
        <v>50.942216212252674</v>
      </c>
      <c r="AG14" s="38">
        <v>0</v>
      </c>
      <c r="AH14" s="38">
        <f t="shared" si="10"/>
        <v>8.1766050291039871</v>
      </c>
      <c r="AI14" s="23">
        <f t="shared" si="11"/>
        <v>5.3813283882720659</v>
      </c>
      <c r="AJ14" s="38">
        <f t="shared" si="12"/>
        <v>1.8574025093867179</v>
      </c>
      <c r="AK14" s="23">
        <f t="shared" si="13"/>
        <v>0</v>
      </c>
      <c r="AL14" s="38">
        <f t="shared" si="14"/>
        <v>3.8095704529258194</v>
      </c>
      <c r="AM14" s="151">
        <f t="shared" si="15"/>
        <v>22.489074743030148</v>
      </c>
      <c r="AN14" s="38">
        <f t="shared" si="40"/>
        <v>78.406509777316927</v>
      </c>
      <c r="AO14" s="38">
        <f t="shared" si="16"/>
        <v>7.8081348548699578</v>
      </c>
      <c r="AP14" s="23">
        <f t="shared" si="17"/>
        <v>8.6935934466593352</v>
      </c>
      <c r="AQ14" s="38">
        <f t="shared" si="27"/>
        <v>0.95292574503014427</v>
      </c>
      <c r="AR14" s="38">
        <f t="shared" si="28"/>
        <v>1.9544701505210098</v>
      </c>
      <c r="AS14" s="38">
        <f t="shared" si="29"/>
        <v>2.7608481940401819</v>
      </c>
      <c r="AT14" s="38">
        <f t="shared" si="30"/>
        <v>484.21563579830951</v>
      </c>
      <c r="AU14" s="38">
        <f>((T14*3)+(U14*3)+(V14*2)+(W14*2)+(X14)+(Y14)+(AA14))/((Branco!$P$7)*3)*100</f>
        <v>617.57070576605815</v>
      </c>
      <c r="AV14" s="151">
        <f t="shared" si="31"/>
        <v>1.8450631594546343</v>
      </c>
      <c r="AW14" s="39">
        <f t="shared" si="32"/>
        <v>1.130671693539872E-2</v>
      </c>
      <c r="AX14" s="23">
        <f t="shared" si="18"/>
        <v>0</v>
      </c>
      <c r="AY14" s="23">
        <f t="shared" si="18"/>
        <v>0.10310138279255864</v>
      </c>
      <c r="AZ14" s="23">
        <f t="shared" si="18"/>
        <v>6.7854861047690798E-2</v>
      </c>
      <c r="BA14" s="23">
        <f t="shared" si="18"/>
        <v>2.3420572039190707E-2</v>
      </c>
      <c r="BB14" s="151">
        <f t="shared" si="19"/>
        <v>0.28357181195356057</v>
      </c>
      <c r="BC14" s="39">
        <f t="shared" si="33"/>
        <v>0.4839274848350652</v>
      </c>
      <c r="BD14" s="23">
        <f t="shared" si="34"/>
        <v>0</v>
      </c>
      <c r="BE14">
        <f t="shared" si="35"/>
        <v>2.8919937873312698</v>
      </c>
      <c r="BF14">
        <f t="shared" si="36"/>
        <v>1.0883919712049603</v>
      </c>
      <c r="BG14">
        <f t="shared" si="37"/>
        <v>0.65601022281773169</v>
      </c>
      <c r="BH14" s="14">
        <f t="shared" si="38"/>
        <v>0.56714362390712114</v>
      </c>
      <c r="BI14" s="109">
        <f t="shared" si="20"/>
        <v>6.6756158538683953E-8</v>
      </c>
      <c r="BJ14" s="1">
        <f t="shared" si="21"/>
        <v>0.39478060402756077</v>
      </c>
    </row>
    <row r="15" spans="1:62" x14ac:dyDescent="0.25">
      <c r="B15" s="5" t="s">
        <v>9</v>
      </c>
      <c r="C15" s="3" t="s">
        <v>16</v>
      </c>
      <c r="D15" s="29">
        <f>(38.3/39.2)*D18</f>
        <v>1.0872743268942171E-10</v>
      </c>
      <c r="E15" s="148">
        <f t="shared" si="39"/>
        <v>0.9770408163265305</v>
      </c>
      <c r="F15" s="185">
        <f t="shared" si="22"/>
        <v>0.79243861081454503</v>
      </c>
      <c r="G15" s="17">
        <v>8</v>
      </c>
      <c r="H15" s="17">
        <v>105</v>
      </c>
      <c r="I15" s="40">
        <v>37854</v>
      </c>
      <c r="J15" s="41">
        <v>99</v>
      </c>
      <c r="K15" s="41">
        <v>17</v>
      </c>
      <c r="L15" s="41">
        <v>17</v>
      </c>
      <c r="M15" s="41">
        <v>9</v>
      </c>
      <c r="N15" s="41">
        <v>47769</v>
      </c>
      <c r="O15" s="41">
        <v>4</v>
      </c>
      <c r="P15" s="41">
        <v>0</v>
      </c>
      <c r="Q15" s="41">
        <v>11</v>
      </c>
      <c r="R15" s="41"/>
      <c r="S15" s="42">
        <v>67</v>
      </c>
      <c r="T15" s="32">
        <f t="shared" si="8"/>
        <v>5.6582556542869739E-6</v>
      </c>
      <c r="U15" s="163">
        <f t="shared" si="4"/>
        <v>1.556088955912267E-8</v>
      </c>
      <c r="V15" s="163">
        <f t="shared" si="23"/>
        <v>2.5151585559985088E-9</v>
      </c>
      <c r="W15" s="163">
        <f t="shared" si="6"/>
        <v>2.6448059042458548E-9</v>
      </c>
      <c r="X15" s="163">
        <f t="shared" si="7"/>
        <v>1.8430361974258571E-9</v>
      </c>
      <c r="Y15" s="163">
        <f t="shared" si="24"/>
        <v>5.0890929688660667E-10</v>
      </c>
      <c r="Z15" s="163">
        <f t="shared" si="25"/>
        <v>0</v>
      </c>
      <c r="AA15" s="163">
        <f t="shared" si="26"/>
        <v>1.1960017595836388E-9</v>
      </c>
      <c r="AB15" s="163">
        <f t="shared" si="2"/>
        <v>0</v>
      </c>
      <c r="AC15" s="33">
        <f t="shared" si="3"/>
        <v>6.7019322800000005E-9</v>
      </c>
      <c r="AD15" s="37">
        <f>(Branco!$F$19-'MoVOx_N2N2 (2.1)'!F15)/Branco!$F$19*100</f>
        <v>-758.68046847769506</v>
      </c>
      <c r="AE15" s="37">
        <f>((Branco2!$P$10-T15)/(Branco2!$P$10))*100</f>
        <v>-0.39872337792079598</v>
      </c>
      <c r="AF15" s="39">
        <f t="shared" si="9"/>
        <v>50.243852094627393</v>
      </c>
      <c r="AG15" s="38">
        <v>0</v>
      </c>
      <c r="AH15" s="38">
        <f t="shared" si="10"/>
        <v>8.5396940944177047</v>
      </c>
      <c r="AI15" s="23">
        <f t="shared" si="11"/>
        <v>5.9508961718850575</v>
      </c>
      <c r="AJ15" s="38">
        <f t="shared" si="12"/>
        <v>1.6431941981980822</v>
      </c>
      <c r="AK15" s="23">
        <f t="shared" si="13"/>
        <v>0</v>
      </c>
      <c r="AL15" s="38">
        <f t="shared" si="14"/>
        <v>3.8617159568622021</v>
      </c>
      <c r="AM15" s="151">
        <f t="shared" si="15"/>
        <v>21.639565845200561</v>
      </c>
      <c r="AN15" s="38">
        <f t="shared" si="40"/>
        <v>77.097024959332998</v>
      </c>
      <c r="AO15" s="38">
        <f t="shared" si="16"/>
        <v>-7.4618761029912255</v>
      </c>
      <c r="AP15" s="23">
        <f t="shared" si="17"/>
        <v>-7.8465088918052057</v>
      </c>
      <c r="AQ15" s="38">
        <f t="shared" si="27"/>
        <v>0.84047021894283513</v>
      </c>
      <c r="AR15" s="38">
        <f t="shared" si="28"/>
        <v>1.9752122173497115</v>
      </c>
      <c r="AS15" s="38">
        <f t="shared" si="29"/>
        <v>3.0437978748799059</v>
      </c>
      <c r="AT15" s="38">
        <f t="shared" si="30"/>
        <v>479.66608124614163</v>
      </c>
      <c r="AU15" s="38">
        <f>((T15*3)+(U15*3)+(V15*2)+(W15*2)+(X15)+(Y15)+(AA15))/((Branco!$P$7)*3)*100</f>
        <v>622.15900224315408</v>
      </c>
      <c r="AV15" s="151">
        <f t="shared" si="31"/>
        <v>-1.9125408018849257</v>
      </c>
      <c r="AW15" s="39">
        <f t="shared" si="32"/>
        <v>-1.1720226141583764E-2</v>
      </c>
      <c r="AX15" s="23">
        <f t="shared" si="18"/>
        <v>0</v>
      </c>
      <c r="AY15" s="23">
        <f t="shared" si="18"/>
        <v>-0.11267642415221768</v>
      </c>
      <c r="AZ15" s="23">
        <f t="shared" si="18"/>
        <v>-7.8518702629810103E-2</v>
      </c>
      <c r="BA15" s="23">
        <f t="shared" si="18"/>
        <v>-2.1681016251116087E-2</v>
      </c>
      <c r="BB15" s="151">
        <f t="shared" si="19"/>
        <v>-0.28552180823871998</v>
      </c>
      <c r="BC15" s="39">
        <f t="shared" si="33"/>
        <v>-0.50162567885978504</v>
      </c>
      <c r="BD15" s="23">
        <f t="shared" si="34"/>
        <v>0</v>
      </c>
      <c r="BE15">
        <f t="shared" si="35"/>
        <v>-3.1605736974697058</v>
      </c>
      <c r="BF15">
        <f t="shared" si="36"/>
        <v>-1.259439990182154</v>
      </c>
      <c r="BG15">
        <f t="shared" si="37"/>
        <v>-0.60728526519376158</v>
      </c>
      <c r="BH15" s="14">
        <f t="shared" si="38"/>
        <v>-0.57104361647743995</v>
      </c>
      <c r="BI15" s="109">
        <f t="shared" si="20"/>
        <v>6.0550544851752837E-8</v>
      </c>
      <c r="BJ15" s="1">
        <f t="shared" si="21"/>
        <v>0.3554412462482065</v>
      </c>
    </row>
    <row r="16" spans="1:62" s="99" customFormat="1" x14ac:dyDescent="0.25">
      <c r="A16"/>
      <c r="B16" s="5" t="s">
        <v>12</v>
      </c>
      <c r="C16" s="3" t="s">
        <v>16</v>
      </c>
      <c r="D16" s="29">
        <v>1.2679079497666798E-10</v>
      </c>
      <c r="E16" s="148">
        <f t="shared" si="39"/>
        <v>1.1393608656295069</v>
      </c>
      <c r="F16" s="185">
        <f t="shared" si="22"/>
        <v>0.7982694372513105</v>
      </c>
      <c r="G16" s="84">
        <v>9</v>
      </c>
      <c r="H16" s="84">
        <v>120</v>
      </c>
      <c r="I16" s="85">
        <v>37917</v>
      </c>
      <c r="J16" s="86">
        <v>97</v>
      </c>
      <c r="K16" s="86">
        <v>17</v>
      </c>
      <c r="L16" s="86">
        <v>19</v>
      </c>
      <c r="M16" s="86">
        <v>9</v>
      </c>
      <c r="N16" s="86">
        <v>47499</v>
      </c>
      <c r="O16" s="86">
        <v>4</v>
      </c>
      <c r="P16" s="86">
        <v>0</v>
      </c>
      <c r="Q16" s="86">
        <v>12</v>
      </c>
      <c r="R16" s="86"/>
      <c r="S16" s="87">
        <v>58</v>
      </c>
      <c r="T16" s="88">
        <f t="shared" si="8"/>
        <v>5.6676726275584936E-6</v>
      </c>
      <c r="U16" s="164">
        <f t="shared" si="4"/>
        <v>1.524652815388787E-8</v>
      </c>
      <c r="V16" s="164">
        <f t="shared" si="23"/>
        <v>2.5151585559985088E-9</v>
      </c>
      <c r="W16" s="164">
        <f t="shared" si="6"/>
        <v>2.9559595400394849E-9</v>
      </c>
      <c r="X16" s="164">
        <f t="shared" si="7"/>
        <v>1.8430361974258571E-9</v>
      </c>
      <c r="Y16" s="164">
        <f t="shared" si="24"/>
        <v>5.0890929688660667E-10</v>
      </c>
      <c r="Z16" s="164">
        <f t="shared" si="25"/>
        <v>0</v>
      </c>
      <c r="AA16" s="164">
        <f t="shared" si="26"/>
        <v>1.3047291922730605E-9</v>
      </c>
      <c r="AB16" s="164">
        <f t="shared" si="2"/>
        <v>0</v>
      </c>
      <c r="AC16" s="89">
        <f t="shared" si="3"/>
        <v>5.80167272E-9</v>
      </c>
      <c r="AD16" s="37">
        <f>(Branco!$F$19-'MoVOx_N2N2 (2.1)'!F16)/Branco!$F$19*100</f>
        <v>-764.99870778103661</v>
      </c>
      <c r="AE16" s="37">
        <f>((Branco2!$P$10-T16)/(Branco2!$P$10))*100</f>
        <v>-0.565815879976312</v>
      </c>
      <c r="AF16" s="92">
        <f t="shared" si="9"/>
        <v>50.525355775974475</v>
      </c>
      <c r="AG16" s="91">
        <v>0</v>
      </c>
      <c r="AH16" s="91">
        <f t="shared" si="10"/>
        <v>9.7957322422807671</v>
      </c>
      <c r="AI16" s="93">
        <f t="shared" si="11"/>
        <v>6.1076238893898553</v>
      </c>
      <c r="AJ16" s="91">
        <f t="shared" si="12"/>
        <v>1.686470718013271</v>
      </c>
      <c r="AK16" s="93">
        <f t="shared" si="13"/>
        <v>0</v>
      </c>
      <c r="AL16" s="91">
        <f t="shared" si="14"/>
        <v>4.3237323255187174</v>
      </c>
      <c r="AM16" s="101">
        <f t="shared" si="15"/>
        <v>19.226119895303309</v>
      </c>
      <c r="AN16" s="38">
        <f t="shared" si="40"/>
        <v>75.804980226437905</v>
      </c>
      <c r="AO16" s="91">
        <f t="shared" si="16"/>
        <v>-5.2582908163264781</v>
      </c>
      <c r="AP16" s="93">
        <f t="shared" si="17"/>
        <v>-6.1798469387754498</v>
      </c>
      <c r="AQ16" s="91">
        <f t="shared" si="27"/>
        <v>0.84342391041775788</v>
      </c>
      <c r="AR16" s="91">
        <f t="shared" si="28"/>
        <v>2.1623495662496084</v>
      </c>
      <c r="AS16" s="91">
        <f t="shared" si="29"/>
        <v>3.0544947914770568</v>
      </c>
      <c r="AT16" s="38">
        <f t="shared" si="30"/>
        <v>472.40377255909698</v>
      </c>
      <c r="AU16" s="91">
        <f>((T16*3)+(U16*3)+(V16*2)+(W16*2)+(X16)+(Y16)+(AA16))/((Branco!$P$7)*3)*100</f>
        <v>623.18302985895434</v>
      </c>
      <c r="AV16" s="151">
        <f t="shared" si="31"/>
        <v>-2.6729355627465505</v>
      </c>
      <c r="AW16" s="39">
        <f t="shared" si="32"/>
        <v>-1.6379995253641626E-2</v>
      </c>
      <c r="AX16" s="93">
        <f t="shared" si="18"/>
        <v>0</v>
      </c>
      <c r="AY16" s="93">
        <f t="shared" si="18"/>
        <v>-0.18341340767297232</v>
      </c>
      <c r="AZ16" s="93">
        <f t="shared" si="18"/>
        <v>-0.11435797576241448</v>
      </c>
      <c r="BA16" s="93">
        <f t="shared" si="18"/>
        <v>-3.1577153568611453E-2</v>
      </c>
      <c r="BB16" s="101">
        <f t="shared" si="19"/>
        <v>-0.35998617347932582</v>
      </c>
      <c r="BC16" s="92">
        <f t="shared" si="33"/>
        <v>-0.70106379685586151</v>
      </c>
      <c r="BD16" s="93">
        <f>AX16*30.07</f>
        <v>0</v>
      </c>
      <c r="BE16" s="99">
        <f t="shared" si="35"/>
        <v>-5.144746085226874</v>
      </c>
      <c r="BF16" s="99">
        <f t="shared" si="36"/>
        <v>-1.8343019312291282</v>
      </c>
      <c r="BG16" s="99">
        <f t="shared" si="37"/>
        <v>-0.88447607145680684</v>
      </c>
      <c r="BH16" s="100">
        <f t="shared" si="38"/>
        <v>-0.71997234695865164</v>
      </c>
      <c r="BI16" s="177">
        <f t="shared" si="20"/>
        <v>6.0338495340325109E-8</v>
      </c>
      <c r="BJ16" s="178">
        <f t="shared" si="21"/>
        <v>0.35361445898219884</v>
      </c>
    </row>
    <row r="17" spans="1:62" x14ac:dyDescent="0.25">
      <c r="B17" s="5" t="s">
        <v>68</v>
      </c>
      <c r="C17" s="3" t="s">
        <v>16</v>
      </c>
      <c r="D17" s="29">
        <f>D14*0.6875</f>
        <v>8.7468785402385524E-11</v>
      </c>
      <c r="E17" s="148">
        <f t="shared" si="39"/>
        <v>0.78600746268656707</v>
      </c>
      <c r="F17" s="185">
        <f t="shared" si="22"/>
        <v>0.78516134460852371</v>
      </c>
      <c r="G17" s="17">
        <v>10</v>
      </c>
      <c r="H17" s="17">
        <v>135</v>
      </c>
      <c r="I17" s="40">
        <v>37325</v>
      </c>
      <c r="J17" s="41">
        <v>84</v>
      </c>
      <c r="K17" s="41">
        <v>17</v>
      </c>
      <c r="L17" s="41">
        <v>18</v>
      </c>
      <c r="M17" s="41">
        <v>9</v>
      </c>
      <c r="N17" s="41">
        <v>47538</v>
      </c>
      <c r="O17" s="41">
        <v>5</v>
      </c>
      <c r="P17" s="41">
        <v>0</v>
      </c>
      <c r="Q17" s="41">
        <v>12</v>
      </c>
      <c r="R17" s="41"/>
      <c r="S17" s="42">
        <v>52</v>
      </c>
      <c r="T17" s="32">
        <f t="shared" si="8"/>
        <v>5.5791829739594578E-6</v>
      </c>
      <c r="U17" s="163">
        <f t="shared" si="4"/>
        <v>1.3203179019861659E-8</v>
      </c>
      <c r="V17" s="163">
        <f t="shared" si="23"/>
        <v>2.5151585559985088E-9</v>
      </c>
      <c r="W17" s="163">
        <f t="shared" si="6"/>
        <v>2.8003827221426698E-9</v>
      </c>
      <c r="X17" s="163">
        <f t="shared" si="7"/>
        <v>1.8430361974258571E-9</v>
      </c>
      <c r="Y17" s="163">
        <f t="shared" si="24"/>
        <v>6.3613662110825832E-10</v>
      </c>
      <c r="Z17" s="163">
        <f t="shared" si="25"/>
        <v>0</v>
      </c>
      <c r="AA17" s="163">
        <f t="shared" si="26"/>
        <v>1.3047291922730605E-9</v>
      </c>
      <c r="AB17" s="163">
        <f t="shared" si="2"/>
        <v>0</v>
      </c>
      <c r="AC17" s="33">
        <f t="shared" si="3"/>
        <v>5.2014996800000005E-9</v>
      </c>
      <c r="AD17" s="37">
        <f>(Branco!$F$19-'MoVOx_N2N2 (2.1)'!F17)/Branco!$F$19*100</f>
        <v>-750.7948780108195</v>
      </c>
      <c r="AE17" s="37">
        <f>((Branco2!$P$10-T17)/(Branco2!$P$10))*100</f>
        <v>1.0043231869579445</v>
      </c>
      <c r="AF17" s="39">
        <f t="shared" si="9"/>
        <v>48.004364673896298</v>
      </c>
      <c r="AG17" s="38">
        <v>0</v>
      </c>
      <c r="AH17" s="38">
        <f t="shared" si="10"/>
        <v>10.181683761008617</v>
      </c>
      <c r="AI17" s="23">
        <f t="shared" si="11"/>
        <v>6.7009454007500828</v>
      </c>
      <c r="AJ17" s="38">
        <f t="shared" si="12"/>
        <v>2.3128773984025703</v>
      </c>
      <c r="AK17" s="23">
        <f t="shared" si="13"/>
        <v>0</v>
      </c>
      <c r="AL17" s="38">
        <f t="shared" si="14"/>
        <v>4.7437587457032313</v>
      </c>
      <c r="AM17" s="151">
        <f t="shared" si="15"/>
        <v>18.911709605259233</v>
      </c>
      <c r="AN17" s="38">
        <f t="shared" si="40"/>
        <v>73.317700679144622</v>
      </c>
      <c r="AO17" s="38">
        <f t="shared" si="16"/>
        <v>2.9624173613107199</v>
      </c>
      <c r="AP17" s="23">
        <f t="shared" si="17"/>
        <v>3.2983615981603891</v>
      </c>
      <c r="AQ17" s="38">
        <f t="shared" si="27"/>
        <v>1.1774960739201938</v>
      </c>
      <c r="AR17" s="38">
        <f t="shared" si="28"/>
        <v>2.4150684781424383</v>
      </c>
      <c r="AS17" s="38">
        <f t="shared" si="29"/>
        <v>3.411480827469024</v>
      </c>
      <c r="AT17" s="38">
        <f t="shared" si="30"/>
        <v>449.62596913524305</v>
      </c>
      <c r="AU17" s="38">
        <f>((T17*3)+(U17*3)+(V17*2)+(W17*2)+(X17)+(Y17)+(AA17))/((Branco!$P$7)*3)*100</f>
        <v>613.25705112181754</v>
      </c>
      <c r="AV17" s="151">
        <f t="shared" si="31"/>
        <v>4.5156978626096169</v>
      </c>
      <c r="AW17" s="39">
        <f t="shared" si="32"/>
        <v>2.7672612309599012E-2</v>
      </c>
      <c r="AX17" s="23">
        <f t="shared" si="18"/>
        <v>0</v>
      </c>
      <c r="AY17" s="23">
        <f t="shared" si="18"/>
        <v>0.33838580426388726</v>
      </c>
      <c r="AZ17" s="23">
        <f t="shared" si="18"/>
        <v>0.222704304316027</v>
      </c>
      <c r="BA17" s="23">
        <f t="shared" si="18"/>
        <v>7.6867922535505132E-2</v>
      </c>
      <c r="BB17" s="151">
        <f t="shared" si="19"/>
        <v>0.62852610776302342</v>
      </c>
      <c r="BC17" s="39">
        <f t="shared" si="33"/>
        <v>1.1843878068508376</v>
      </c>
      <c r="BD17" s="23">
        <f>AX17*30.07</f>
        <v>0</v>
      </c>
      <c r="BE17">
        <f t="shared" si="35"/>
        <v>9.491721809602037</v>
      </c>
      <c r="BF17">
        <f t="shared" si="36"/>
        <v>3.572177041229073</v>
      </c>
      <c r="BG17">
        <f t="shared" si="37"/>
        <v>2.1530705102194987</v>
      </c>
      <c r="BH17" s="14">
        <f t="shared" si="38"/>
        <v>1.2570522155260468</v>
      </c>
      <c r="BI17" s="109"/>
      <c r="BJ17" s="1"/>
    </row>
    <row r="18" spans="1:62" x14ac:dyDescent="0.25">
      <c r="B18" s="5" t="s">
        <v>13</v>
      </c>
      <c r="C18" s="3" t="s">
        <v>16</v>
      </c>
      <c r="D18" s="29">
        <v>1.1128238541580499E-10</v>
      </c>
      <c r="E18" s="148">
        <f t="shared" si="39"/>
        <v>1</v>
      </c>
      <c r="F18" s="185">
        <f t="shared" si="22"/>
        <v>0.72739862731919924</v>
      </c>
      <c r="G18" s="17">
        <v>11</v>
      </c>
      <c r="H18" s="17">
        <v>150</v>
      </c>
      <c r="I18" s="40">
        <v>35716</v>
      </c>
      <c r="J18" s="41">
        <v>77</v>
      </c>
      <c r="K18" s="41">
        <v>16</v>
      </c>
      <c r="L18" s="41">
        <v>17</v>
      </c>
      <c r="M18" s="41">
        <v>8</v>
      </c>
      <c r="N18" s="41">
        <v>49101</v>
      </c>
      <c r="O18" s="41">
        <v>3</v>
      </c>
      <c r="P18" s="41">
        <v>0</v>
      </c>
      <c r="Q18" s="41">
        <v>11</v>
      </c>
      <c r="R18" s="41"/>
      <c r="S18" s="42"/>
      <c r="T18" s="32">
        <f t="shared" si="8"/>
        <v>5.3386764661201874E-6</v>
      </c>
      <c r="U18" s="163">
        <f t="shared" si="4"/>
        <v>1.2102914101539855E-8</v>
      </c>
      <c r="V18" s="163">
        <f t="shared" si="23"/>
        <v>2.3672080527044789E-9</v>
      </c>
      <c r="W18" s="163">
        <f t="shared" si="6"/>
        <v>2.6448059042458548E-9</v>
      </c>
      <c r="X18" s="163">
        <f t="shared" si="7"/>
        <v>1.638254397711873E-9</v>
      </c>
      <c r="Y18" s="163">
        <f t="shared" si="24"/>
        <v>3.8168197266495503E-10</v>
      </c>
      <c r="Z18" s="163">
        <f t="shared" si="25"/>
        <v>0</v>
      </c>
      <c r="AA18" s="163">
        <f t="shared" si="26"/>
        <v>1.1960017595836388E-9</v>
      </c>
      <c r="AB18" s="163">
        <f t="shared" si="2"/>
        <v>0</v>
      </c>
      <c r="AC18" s="33">
        <f t="shared" si="3"/>
        <v>0</v>
      </c>
      <c r="AD18" s="37">
        <f>(Branco!$F$19-'MoVOx_N2N2 (2.1)'!F18)/Branco!$F$19*100</f>
        <v>-688.2036356538141</v>
      </c>
      <c r="AE18" s="37">
        <f>((Branco2!$P$10-T18)/(Branco2!$P$10))*100</f>
        <v>5.2718126442167428</v>
      </c>
      <c r="AF18" s="39">
        <f t="shared" si="9"/>
        <v>59.529751410272688</v>
      </c>
      <c r="AG18" s="38">
        <v>0</v>
      </c>
      <c r="AH18" s="38">
        <f t="shared" si="10"/>
        <v>13.00882057719847</v>
      </c>
      <c r="AI18" s="23">
        <f t="shared" si="11"/>
        <v>8.057966554531335</v>
      </c>
      <c r="AJ18" s="38">
        <f t="shared" si="12"/>
        <v>1.8773522442530117</v>
      </c>
      <c r="AK18" s="23">
        <f t="shared" si="13"/>
        <v>0</v>
      </c>
      <c r="AL18" s="38">
        <f t="shared" si="14"/>
        <v>5.8826896429186624</v>
      </c>
      <c r="AM18" s="151">
        <f t="shared" si="15"/>
        <v>0</v>
      </c>
      <c r="AN18" s="38">
        <f t="shared" si="40"/>
        <v>73.278887613490923</v>
      </c>
      <c r="AO18" s="38">
        <f t="shared" si="16"/>
        <v>0.53116668434940639</v>
      </c>
      <c r="AP18" s="23">
        <f t="shared" si="17"/>
        <v>0.5934555609934733</v>
      </c>
      <c r="AQ18" s="38">
        <f t="shared" si="27"/>
        <v>0.77031669520131585</v>
      </c>
      <c r="AR18" s="38">
        <f t="shared" si="28"/>
        <v>2.4137899845381368</v>
      </c>
      <c r="AS18" s="38">
        <f t="shared" si="29"/>
        <v>3.3063513708367056</v>
      </c>
      <c r="AT18" s="38">
        <f t="shared" si="30"/>
        <v>429.95834543398894</v>
      </c>
      <c r="AU18" s="38">
        <f>((T18*3)+(U18*3)+(V18*2)+(W18*2)+(X18)+(Y18)+(AA18))/((Branco!$P$7)*3)*100</f>
        <v>586.7424567111359</v>
      </c>
      <c r="AV18" s="151">
        <f t="shared" si="31"/>
        <v>22.666598419454132</v>
      </c>
      <c r="AW18" s="39">
        <f t="shared" si="32"/>
        <v>0.13890300226517818</v>
      </c>
      <c r="AX18" s="23">
        <f t="shared" si="18"/>
        <v>0</v>
      </c>
      <c r="AY18" s="23">
        <f t="shared" si="18"/>
        <v>2.2694307408549448</v>
      </c>
      <c r="AZ18" s="23">
        <f t="shared" si="18"/>
        <v>1.4057382757424908</v>
      </c>
      <c r="BA18" s="23">
        <f t="shared" si="18"/>
        <v>0.32751015891390939</v>
      </c>
      <c r="BB18" s="151">
        <f t="shared" si="19"/>
        <v>0</v>
      </c>
      <c r="BC18" s="39">
        <f t="shared" si="33"/>
        <v>5.9450484969496262</v>
      </c>
      <c r="BD18" s="23">
        <f t="shared" si="34"/>
        <v>0</v>
      </c>
      <c r="BE18">
        <f t="shared" si="35"/>
        <v>63.657532280981201</v>
      </c>
      <c r="BF18">
        <f t="shared" si="36"/>
        <v>22.548041942909549</v>
      </c>
      <c r="BG18">
        <f t="shared" si="37"/>
        <v>9.1735595511786023</v>
      </c>
      <c r="BH18" s="14">
        <f t="shared" si="38"/>
        <v>0</v>
      </c>
      <c r="BI18" s="109">
        <f t="shared" ref="BI18:BI28" si="41">U18*3+V18*2+W18*2+X18+Y18+AA18</f>
        <v>4.9548708348480705E-8</v>
      </c>
      <c r="BJ18" s="1">
        <f t="shared" ref="BJ18:BJ28" si="42">(BI18/((3*T18)+BI18))*100</f>
        <v>0.3084153462724693</v>
      </c>
    </row>
    <row r="19" spans="1:62" ht="15.75" thickBot="1" x14ac:dyDescent="0.3">
      <c r="B19" s="6" t="s">
        <v>11</v>
      </c>
      <c r="C19" s="7" t="s">
        <v>17</v>
      </c>
      <c r="D19" s="30">
        <f>0.00000000010002884</f>
        <v>1.0002884E-10</v>
      </c>
      <c r="E19" s="148">
        <f t="shared" si="39"/>
        <v>0.89887397386606804</v>
      </c>
      <c r="F19" s="185">
        <f t="shared" si="22"/>
        <v>0.79070305272895469</v>
      </c>
      <c r="G19" s="17">
        <v>12</v>
      </c>
      <c r="H19" s="17">
        <v>165</v>
      </c>
      <c r="I19" s="40">
        <v>37609</v>
      </c>
      <c r="J19" s="41">
        <v>78</v>
      </c>
      <c r="K19" s="41">
        <v>17</v>
      </c>
      <c r="L19" s="41">
        <v>18</v>
      </c>
      <c r="M19" s="41">
        <v>9</v>
      </c>
      <c r="N19" s="41">
        <v>47564</v>
      </c>
      <c r="O19" s="41">
        <v>3</v>
      </c>
      <c r="P19" s="41">
        <v>0</v>
      </c>
      <c r="Q19" s="41">
        <v>11</v>
      </c>
      <c r="R19" s="41"/>
      <c r="S19" s="42"/>
      <c r="T19" s="32">
        <f t="shared" si="8"/>
        <v>5.6216340915644007E-6</v>
      </c>
      <c r="U19" s="163">
        <f t="shared" si="4"/>
        <v>1.2260094804157255E-8</v>
      </c>
      <c r="V19" s="163">
        <f t="shared" si="23"/>
        <v>2.5151585559985088E-9</v>
      </c>
      <c r="W19" s="163">
        <f t="shared" si="6"/>
        <v>2.8003827221426698E-9</v>
      </c>
      <c r="X19" s="163">
        <f t="shared" si="7"/>
        <v>1.8430361974258571E-9</v>
      </c>
      <c r="Y19" s="163">
        <f t="shared" si="24"/>
        <v>3.8168197266495503E-10</v>
      </c>
      <c r="Z19" s="163">
        <f t="shared" si="25"/>
        <v>0</v>
      </c>
      <c r="AA19" s="163">
        <f t="shared" si="26"/>
        <v>1.1960017595836388E-9</v>
      </c>
      <c r="AB19" s="163">
        <f t="shared" si="2"/>
        <v>0</v>
      </c>
      <c r="AC19" s="33">
        <f t="shared" si="3"/>
        <v>0</v>
      </c>
      <c r="AD19" s="37">
        <f>(Branco!$F$19-'MoVOx_N2N2 (2.1)'!F19)/Branco!$F$19*100</f>
        <v>-756.79983089938082</v>
      </c>
      <c r="AE19" s="37">
        <f>((Branco2!$P$10-T19)/(Branco2!$P$10))*100</f>
        <v>0.25108079673948236</v>
      </c>
      <c r="AF19" s="39">
        <f t="shared" si="9"/>
        <v>58.391536117820188</v>
      </c>
      <c r="AG19" s="38">
        <v>0</v>
      </c>
      <c r="AH19" s="38">
        <f t="shared" si="10"/>
        <v>13.337470180757984</v>
      </c>
      <c r="AI19" s="23">
        <f t="shared" si="11"/>
        <v>8.7778860121008186</v>
      </c>
      <c r="AJ19" s="38">
        <f t="shared" si="12"/>
        <v>1.8178486421515532</v>
      </c>
      <c r="AK19" s="23">
        <f t="shared" si="13"/>
        <v>0</v>
      </c>
      <c r="AL19" s="38">
        <f t="shared" si="14"/>
        <v>5.6962349033405388</v>
      </c>
      <c r="AM19" s="151">
        <f t="shared" si="15"/>
        <v>0</v>
      </c>
      <c r="AN19" s="38">
        <f t="shared" si="40"/>
        <v>72.356432042550665</v>
      </c>
      <c r="AO19" s="38">
        <f t="shared" si="16"/>
        <v>11.849669445243057</v>
      </c>
      <c r="AP19" s="23">
        <f t="shared" si="17"/>
        <v>13.193446392641755</v>
      </c>
      <c r="AQ19" s="38">
        <f t="shared" si="27"/>
        <v>0.75086819360303381</v>
      </c>
      <c r="AR19" s="38">
        <f t="shared" si="28"/>
        <v>2.3528480386285535</v>
      </c>
      <c r="AS19" s="38">
        <f t="shared" si="29"/>
        <v>3.625733881649531</v>
      </c>
      <c r="AT19" s="38">
        <f t="shared" si="30"/>
        <v>447.01197421289851</v>
      </c>
      <c r="AU19" s="38">
        <f>((T19*3)+(U19*3)+(V19*2)+(W19*2)+(X19)+(Y19)+(AA19))/((Branco!$P$7)*3)*100</f>
        <v>617.79162072284612</v>
      </c>
      <c r="AV19" s="151">
        <f t="shared" si="31"/>
        <v>1.122361226374635</v>
      </c>
      <c r="AW19" s="39">
        <f t="shared" si="32"/>
        <v>6.8779329427595057E-3</v>
      </c>
      <c r="AX19" s="23">
        <f t="shared" si="18"/>
        <v>0</v>
      </c>
      <c r="AY19" s="23">
        <f t="shared" si="18"/>
        <v>0.11081690120952672</v>
      </c>
      <c r="AZ19" s="23">
        <f t="shared" si="18"/>
        <v>7.2932731158779698E-2</v>
      </c>
      <c r="BA19" s="23">
        <f t="shared" si="18"/>
        <v>1.510394030209801E-2</v>
      </c>
      <c r="BB19" s="151">
        <f t="shared" si="19"/>
        <v>0</v>
      </c>
      <c r="BC19" s="39">
        <f t="shared" si="33"/>
        <v>0.2943755299501068</v>
      </c>
      <c r="BD19" s="23">
        <f t="shared" si="34"/>
        <v>0</v>
      </c>
      <c r="BE19">
        <f t="shared" si="35"/>
        <v>3.1084140789272245</v>
      </c>
      <c r="BF19">
        <f t="shared" si="36"/>
        <v>1.1698410077868262</v>
      </c>
      <c r="BG19">
        <f t="shared" si="37"/>
        <v>0.42306136786176529</v>
      </c>
      <c r="BH19" s="14">
        <f t="shared" si="38"/>
        <v>0</v>
      </c>
      <c r="BI19" s="109">
        <f t="shared" si="41"/>
        <v>5.0832086898428573E-8</v>
      </c>
      <c r="BJ19" s="1">
        <f t="shared" si="42"/>
        <v>0.30050180389357745</v>
      </c>
    </row>
    <row r="20" spans="1:62" s="99" customFormat="1" ht="15.75" thickBot="1" x14ac:dyDescent="0.3">
      <c r="A20"/>
      <c r="B20" s="5"/>
      <c r="C20" s="3"/>
      <c r="D20"/>
      <c r="E20"/>
      <c r="F20" s="185">
        <f t="shared" si="22"/>
        <v>0.71553730044716024</v>
      </c>
      <c r="G20" s="84">
        <v>13</v>
      </c>
      <c r="H20" s="84">
        <v>180</v>
      </c>
      <c r="I20" s="85">
        <v>35364</v>
      </c>
      <c r="J20" s="86">
        <v>73</v>
      </c>
      <c r="K20" s="86">
        <v>16</v>
      </c>
      <c r="L20" s="86">
        <v>17</v>
      </c>
      <c r="M20" s="86">
        <v>9</v>
      </c>
      <c r="N20" s="86">
        <v>49423</v>
      </c>
      <c r="O20" s="86">
        <v>3</v>
      </c>
      <c r="P20" s="86">
        <v>0</v>
      </c>
      <c r="Q20" s="86">
        <v>12</v>
      </c>
      <c r="R20" s="86"/>
      <c r="S20" s="87"/>
      <c r="T20" s="88">
        <f t="shared" si="8"/>
        <v>5.2860609964126529E-6</v>
      </c>
      <c r="U20" s="164">
        <f t="shared" si="4"/>
        <v>1.1474191291070252E-8</v>
      </c>
      <c r="V20" s="164">
        <f t="shared" si="23"/>
        <v>2.3672080527044789E-9</v>
      </c>
      <c r="W20" s="164">
        <f t="shared" si="6"/>
        <v>2.6448059042458548E-9</v>
      </c>
      <c r="X20" s="164">
        <f t="shared" si="7"/>
        <v>1.8430361974258571E-9</v>
      </c>
      <c r="Y20" s="164">
        <f t="shared" si="24"/>
        <v>3.8168197266495503E-10</v>
      </c>
      <c r="Z20" s="164">
        <f t="shared" si="25"/>
        <v>0</v>
      </c>
      <c r="AA20" s="164">
        <f t="shared" si="26"/>
        <v>1.3047291922730605E-9</v>
      </c>
      <c r="AB20" s="164">
        <f t="shared" si="2"/>
        <v>0</v>
      </c>
      <c r="AC20" s="89">
        <f t="shared" si="3"/>
        <v>0</v>
      </c>
      <c r="AD20" s="37">
        <f>(Branco!$F$19-'MoVOx_N2N2 (2.1)'!F20)/Branco!$F$19*100</f>
        <v>-675.35079181676258</v>
      </c>
      <c r="AE20" s="37">
        <f>((Branco2!$P$10-T20)/(Branco2!$P$10))*100</f>
        <v>6.2054088461776464</v>
      </c>
      <c r="AF20" s="92">
        <f t="shared" si="9"/>
        <v>57.326091306746839</v>
      </c>
      <c r="AG20" s="91">
        <v>0</v>
      </c>
      <c r="AH20" s="91">
        <f t="shared" si="10"/>
        <v>13.213688085661943</v>
      </c>
      <c r="AI20" s="93">
        <f t="shared" si="11"/>
        <v>9.2079745452299608</v>
      </c>
      <c r="AJ20" s="91">
        <f t="shared" si="12"/>
        <v>1.9069174515295693</v>
      </c>
      <c r="AK20" s="93">
        <f t="shared" si="13"/>
        <v>0</v>
      </c>
      <c r="AL20" s="91">
        <f t="shared" si="14"/>
        <v>6.5185443496163842</v>
      </c>
      <c r="AM20" s="101">
        <f t="shared" si="15"/>
        <v>0</v>
      </c>
      <c r="AN20" s="38">
        <f t="shared" si="40"/>
        <v>71.749496849903139</v>
      </c>
      <c r="AO20" s="91">
        <f t="shared" si="16"/>
        <v>0.45125330371498945</v>
      </c>
      <c r="AP20" s="93">
        <f t="shared" si="17"/>
        <v>0.50417089474342247</v>
      </c>
      <c r="AQ20" s="91">
        <f t="shared" si="27"/>
        <v>0.7955677456386161</v>
      </c>
      <c r="AR20" s="91">
        <f t="shared" si="28"/>
        <v>2.7195428039687384</v>
      </c>
      <c r="AS20" s="91">
        <f t="shared" si="29"/>
        <v>3.8415755988652807</v>
      </c>
      <c r="AT20" s="38">
        <f t="shared" si="30"/>
        <v>416.80731989187171</v>
      </c>
      <c r="AU20" s="91">
        <f>((T20*3)+(U20*3)+(V20*2)+(W20*2)+(X20)+(Y20)+(AA20))/((Branco!$P$7)*3)*100</f>
        <v>580.92019901381991</v>
      </c>
      <c r="AV20" s="151">
        <f t="shared" si="31"/>
        <v>25.864598300086168</v>
      </c>
      <c r="AW20" s="39">
        <f t="shared" si="32"/>
        <v>0.15850064000698491</v>
      </c>
      <c r="AX20" s="93">
        <f t="shared" si="18"/>
        <v>0</v>
      </c>
      <c r="AY20" s="93">
        <f t="shared" si="18"/>
        <v>2.7133979562682433</v>
      </c>
      <c r="AZ20" s="93">
        <f t="shared" si="18"/>
        <v>1.8908346519476176</v>
      </c>
      <c r="BA20" s="93">
        <f t="shared" si="18"/>
        <v>0.39158075188463753</v>
      </c>
      <c r="BB20" s="101">
        <f t="shared" si="19"/>
        <v>0</v>
      </c>
      <c r="BC20" s="92">
        <f t="shared" si="33"/>
        <v>6.7838273922989538</v>
      </c>
      <c r="BD20" s="93">
        <f t="shared" si="34"/>
        <v>0</v>
      </c>
      <c r="BE20" s="99">
        <f t="shared" si="35"/>
        <v>76.110812673324233</v>
      </c>
      <c r="BF20" s="99">
        <f t="shared" si="36"/>
        <v>30.328987817239785</v>
      </c>
      <c r="BG20" s="99">
        <f t="shared" si="37"/>
        <v>10.968176860288699</v>
      </c>
      <c r="BH20" s="100">
        <f t="shared" si="38"/>
        <v>0</v>
      </c>
      <c r="BI20" s="177">
        <f t="shared" si="41"/>
        <v>4.7976049149475293E-8</v>
      </c>
      <c r="BJ20" s="178">
        <f t="shared" si="42"/>
        <v>0.30161932263905683</v>
      </c>
    </row>
    <row r="21" spans="1:62" x14ac:dyDescent="0.25">
      <c r="B21" s="224" t="s">
        <v>20</v>
      </c>
      <c r="C21" s="24">
        <v>3</v>
      </c>
      <c r="D21" s="13" t="s">
        <v>21</v>
      </c>
      <c r="F21" s="185">
        <f t="shared" si="22"/>
        <v>0.78627500633071667</v>
      </c>
      <c r="G21" s="17">
        <v>14</v>
      </c>
      <c r="H21" s="17">
        <v>195</v>
      </c>
      <c r="I21" s="40">
        <v>37260</v>
      </c>
      <c r="J21" s="41">
        <v>72</v>
      </c>
      <c r="K21" s="41">
        <v>16</v>
      </c>
      <c r="L21" s="41">
        <v>18</v>
      </c>
      <c r="M21" s="41">
        <v>9</v>
      </c>
      <c r="N21" s="41">
        <v>47388</v>
      </c>
      <c r="O21" s="41">
        <v>2</v>
      </c>
      <c r="P21" s="41">
        <v>0</v>
      </c>
      <c r="Q21" s="41">
        <v>12</v>
      </c>
      <c r="R21" s="41"/>
      <c r="S21" s="42"/>
      <c r="T21" s="32">
        <f t="shared" si="8"/>
        <v>5.5694670491555093E-6</v>
      </c>
      <c r="U21" s="163">
        <f t="shared" si="4"/>
        <v>1.1317010588452851E-8</v>
      </c>
      <c r="V21" s="163">
        <f t="shared" si="23"/>
        <v>2.3672080527044789E-9</v>
      </c>
      <c r="W21" s="163">
        <f t="shared" si="6"/>
        <v>2.8003827221426698E-9</v>
      </c>
      <c r="X21" s="163">
        <f t="shared" si="7"/>
        <v>1.8430361974258571E-9</v>
      </c>
      <c r="Y21" s="163">
        <f t="shared" si="24"/>
        <v>2.5445464844330334E-10</v>
      </c>
      <c r="Z21" s="163">
        <f t="shared" si="25"/>
        <v>0</v>
      </c>
      <c r="AA21" s="163">
        <f t="shared" si="26"/>
        <v>1.3047291922730605E-9</v>
      </c>
      <c r="AB21" s="163">
        <f t="shared" si="2"/>
        <v>0</v>
      </c>
      <c r="AC21" s="33">
        <f t="shared" si="3"/>
        <v>0</v>
      </c>
      <c r="AD21" s="37">
        <f>(Branco!$F$19-'MoVOx_N2N2 (2.1)'!F21)/Branco!$F$19*100</f>
        <v>-752.00163340649033</v>
      </c>
      <c r="AE21" s="37">
        <f>((Branco2!$P$10-T21)/(Branco2!$P$10))*100</f>
        <v>1.1767202128882306</v>
      </c>
      <c r="AF21" s="39">
        <f t="shared" si="9"/>
        <v>56.907086155216966</v>
      </c>
      <c r="AG21" s="38">
        <v>0</v>
      </c>
      <c r="AH21" s="38">
        <f t="shared" si="10"/>
        <v>14.08160040065318</v>
      </c>
      <c r="AI21" s="23">
        <f t="shared" si="11"/>
        <v>9.267625832312234</v>
      </c>
      <c r="AJ21" s="38">
        <f t="shared" si="12"/>
        <v>1.2795139218419789</v>
      </c>
      <c r="AK21" s="23">
        <f t="shared" si="13"/>
        <v>0</v>
      </c>
      <c r="AL21" s="38">
        <f t="shared" si="14"/>
        <v>6.5607729155672896</v>
      </c>
      <c r="AM21" s="151">
        <f t="shared" si="15"/>
        <v>0</v>
      </c>
      <c r="AN21" s="38">
        <f t="shared" si="40"/>
        <v>71.193430729642245</v>
      </c>
      <c r="AO21" s="38">
        <f t="shared" si="16"/>
        <v>2.3796746346923325</v>
      </c>
      <c r="AP21" s="23">
        <f t="shared" si="17"/>
        <v>2.8151305601128365</v>
      </c>
      <c r="AQ21" s="38">
        <f t="shared" si="27"/>
        <v>0.53357728604488786</v>
      </c>
      <c r="AR21" s="38">
        <f t="shared" si="28"/>
        <v>2.7359447575260831</v>
      </c>
      <c r="AS21" s="38">
        <f t="shared" si="29"/>
        <v>3.8647446934894454</v>
      </c>
      <c r="AT21" s="38">
        <f t="shared" si="30"/>
        <v>435.67611578891069</v>
      </c>
      <c r="AU21" s="38">
        <f>((T21*3)+(U21*3)+(V21*2)+(W21*2)+(X21)+(Y21)+(AA21))/((Branco!$P$7)*3)*100</f>
        <v>611.96111961986355</v>
      </c>
      <c r="AV21" s="151">
        <f t="shared" si="31"/>
        <v>5.1266889172144445</v>
      </c>
      <c r="AW21" s="39">
        <f t="shared" si="32"/>
        <v>3.1416821752553531E-2</v>
      </c>
      <c r="AX21" s="23">
        <f t="shared" si="18"/>
        <v>0</v>
      </c>
      <c r="AY21" s="23">
        <f t="shared" si="18"/>
        <v>0.54833285879704075</v>
      </c>
      <c r="AZ21" s="23">
        <f t="shared" si="18"/>
        <v>0.36087828246122883</v>
      </c>
      <c r="BA21" s="23">
        <f t="shared" si="18"/>
        <v>4.9823848616076451E-2</v>
      </c>
      <c r="BB21" s="151">
        <f t="shared" si="19"/>
        <v>0</v>
      </c>
      <c r="BC21" s="39">
        <f t="shared" si="33"/>
        <v>1.3446399710092911</v>
      </c>
      <c r="BD21" s="23">
        <f t="shared" si="34"/>
        <v>0</v>
      </c>
      <c r="BE21">
        <f t="shared" si="35"/>
        <v>15.380736689256993</v>
      </c>
      <c r="BF21">
        <f t="shared" si="36"/>
        <v>5.7884876506781104</v>
      </c>
      <c r="BG21">
        <f t="shared" si="37"/>
        <v>1.3955659997363015</v>
      </c>
      <c r="BH21" s="14">
        <f t="shared" si="38"/>
        <v>0</v>
      </c>
      <c r="BI21" s="109">
        <f t="shared" si="41"/>
        <v>4.7688433353195063E-8</v>
      </c>
      <c r="BJ21" s="1">
        <f t="shared" si="42"/>
        <v>0.28460359514777733</v>
      </c>
    </row>
    <row r="22" spans="1:62" x14ac:dyDescent="0.25">
      <c r="B22" s="229"/>
      <c r="C22" s="23">
        <f>(C21/1000)*60</f>
        <v>0.18</v>
      </c>
      <c r="D22" s="14" t="s">
        <v>22</v>
      </c>
      <c r="F22" s="185">
        <f t="shared" si="22"/>
        <v>0.78747099767981443</v>
      </c>
      <c r="G22" s="17">
        <v>15</v>
      </c>
      <c r="H22" s="17">
        <v>210</v>
      </c>
      <c r="I22" s="40">
        <v>37334</v>
      </c>
      <c r="J22" s="41">
        <v>72</v>
      </c>
      <c r="K22" s="41">
        <v>16</v>
      </c>
      <c r="L22" s="41">
        <v>18</v>
      </c>
      <c r="M22" s="41">
        <v>9</v>
      </c>
      <c r="N22" s="41">
        <v>47410</v>
      </c>
      <c r="O22" s="41">
        <v>3</v>
      </c>
      <c r="P22" s="41">
        <v>0</v>
      </c>
      <c r="Q22" s="41">
        <v>14</v>
      </c>
      <c r="R22" s="41"/>
      <c r="S22" s="42"/>
      <c r="T22" s="32">
        <f t="shared" si="8"/>
        <v>5.5805282558553888E-6</v>
      </c>
      <c r="U22" s="163">
        <f t="shared" si="4"/>
        <v>1.1317010588452851E-8</v>
      </c>
      <c r="V22" s="163">
        <f t="shared" si="23"/>
        <v>2.3672080527044789E-9</v>
      </c>
      <c r="W22" s="163">
        <f t="shared" si="6"/>
        <v>2.8003827221426698E-9</v>
      </c>
      <c r="X22" s="163">
        <f t="shared" si="7"/>
        <v>1.8430361974258571E-9</v>
      </c>
      <c r="Y22" s="163">
        <f t="shared" si="24"/>
        <v>3.8168197266495503E-10</v>
      </c>
      <c r="Z22" s="163">
        <f t="shared" si="25"/>
        <v>0</v>
      </c>
      <c r="AA22" s="163">
        <f t="shared" si="26"/>
        <v>1.522184057651904E-9</v>
      </c>
      <c r="AB22" s="163">
        <f t="shared" si="2"/>
        <v>0</v>
      </c>
      <c r="AC22" s="33">
        <f t="shared" si="3"/>
        <v>0</v>
      </c>
      <c r="AD22" s="37">
        <f>(Branco!$F$19-'MoVOx_N2N2 (2.1)'!F22)/Branco!$F$19*100</f>
        <v>-753.29760056145119</v>
      </c>
      <c r="AE22" s="37">
        <f>((Branco2!$P$10-T22)/(Branco2!$P$10))*100</f>
        <v>0.98045282952144863</v>
      </c>
      <c r="AF22" s="39">
        <f t="shared" si="9"/>
        <v>55.937565577001116</v>
      </c>
      <c r="AG22" s="38">
        <v>0</v>
      </c>
      <c r="AH22" s="38">
        <f t="shared" si="10"/>
        <v>13.841693522880377</v>
      </c>
      <c r="AI22" s="23">
        <f t="shared" si="11"/>
        <v>9.109734178342741</v>
      </c>
      <c r="AJ22" s="38">
        <f t="shared" si="12"/>
        <v>1.8865724484953297</v>
      </c>
      <c r="AK22" s="23">
        <f t="shared" si="13"/>
        <v>0</v>
      </c>
      <c r="AL22" s="38">
        <f t="shared" si="14"/>
        <v>7.5238305981658984</v>
      </c>
      <c r="AM22" s="151">
        <f t="shared" si="15"/>
        <v>0</v>
      </c>
      <c r="AN22" s="38">
        <f t="shared" si="40"/>
        <v>70.682551780572197</v>
      </c>
      <c r="AO22" s="38">
        <f t="shared" si="16"/>
        <v>2.856038718463024</v>
      </c>
      <c r="AP22" s="23">
        <f t="shared" si="17"/>
        <v>3.3786643602436293</v>
      </c>
      <c r="AQ22" s="38">
        <f t="shared" si="27"/>
        <v>0.79462256060590497</v>
      </c>
      <c r="AR22" s="38">
        <f t="shared" si="28"/>
        <v>3.1690304500354536</v>
      </c>
      <c r="AS22" s="38">
        <f t="shared" si="29"/>
        <v>3.8370115629576143</v>
      </c>
      <c r="AT22" s="38">
        <f t="shared" si="30"/>
        <v>433.4152509329349</v>
      </c>
      <c r="AU22" s="38">
        <f>((T22*3)+(U22*3)+(V22*2)+(W22*2)+(X22)+(Y22)+(AA22))/((Branco!$P$7)*3)*100</f>
        <v>613.18563070336597</v>
      </c>
      <c r="AV22" s="151">
        <f t="shared" si="31"/>
        <v>4.2494320913494468</v>
      </c>
      <c r="AW22" s="39">
        <f t="shared" si="32"/>
        <v>2.6040911145442526E-2</v>
      </c>
      <c r="AX22" s="23">
        <f t="shared" si="18"/>
        <v>0</v>
      </c>
      <c r="AY22" s="23">
        <f t="shared" si="18"/>
        <v>0.44909164500368975</v>
      </c>
      <c r="AZ22" s="23">
        <f t="shared" si="18"/>
        <v>0.29556394244213419</v>
      </c>
      <c r="BA22" s="23">
        <f t="shared" si="18"/>
        <v>6.1209556685596932E-2</v>
      </c>
      <c r="BB22" s="151">
        <f t="shared" si="19"/>
        <v>0</v>
      </c>
      <c r="BC22" s="39">
        <f t="shared" si="33"/>
        <v>1.1145509970249401</v>
      </c>
      <c r="BD22" s="23">
        <f t="shared" si="34"/>
        <v>0</v>
      </c>
      <c r="BE22">
        <f t="shared" si="35"/>
        <v>12.597020642353497</v>
      </c>
      <c r="BF22">
        <f t="shared" si="36"/>
        <v>4.7408456367718319</v>
      </c>
      <c r="BG22">
        <f t="shared" si="37"/>
        <v>1.7144796827635702</v>
      </c>
      <c r="BH22" s="14">
        <f t="shared" si="38"/>
        <v>0</v>
      </c>
      <c r="BI22" s="109">
        <f t="shared" si="41"/>
        <v>4.8033115542795565E-8</v>
      </c>
      <c r="BJ22" s="1">
        <f t="shared" si="42"/>
        <v>0.28608819972680161</v>
      </c>
    </row>
    <row r="23" spans="1:62" ht="18.75" thickBot="1" x14ac:dyDescent="0.4">
      <c r="B23" s="225"/>
      <c r="C23" s="25">
        <f>(1*C22)/(0.082057*298)</f>
        <v>7.3610642070461238E-3</v>
      </c>
      <c r="D23" s="15" t="s">
        <v>23</v>
      </c>
      <c r="F23" s="185">
        <f t="shared" si="22"/>
        <v>0.67562915479582142</v>
      </c>
      <c r="G23" s="17">
        <v>16</v>
      </c>
      <c r="H23" s="17">
        <v>225</v>
      </c>
      <c r="I23" s="40">
        <v>34149</v>
      </c>
      <c r="J23" s="41">
        <v>62</v>
      </c>
      <c r="K23" s="41">
        <v>15</v>
      </c>
      <c r="L23" s="41">
        <v>16</v>
      </c>
      <c r="M23" s="41">
        <v>8</v>
      </c>
      <c r="N23" s="41">
        <v>50544</v>
      </c>
      <c r="O23" s="41">
        <v>2</v>
      </c>
      <c r="P23" s="41">
        <v>0</v>
      </c>
      <c r="Q23" s="41">
        <v>11</v>
      </c>
      <c r="R23" s="41"/>
      <c r="S23" s="42"/>
      <c r="T23" s="32">
        <f t="shared" si="8"/>
        <v>5.1044479404619299E-6</v>
      </c>
      <c r="U23" s="163">
        <f t="shared" si="4"/>
        <v>9.7452035622788445E-9</v>
      </c>
      <c r="V23" s="163">
        <f t="shared" si="23"/>
        <v>2.219257549410449E-9</v>
      </c>
      <c r="W23" s="163">
        <f t="shared" si="6"/>
        <v>2.4892290863490398E-9</v>
      </c>
      <c r="X23" s="163">
        <f t="shared" si="7"/>
        <v>1.638254397711873E-9</v>
      </c>
      <c r="Y23" s="163">
        <f t="shared" si="24"/>
        <v>2.5445464844330334E-10</v>
      </c>
      <c r="Z23" s="163">
        <f t="shared" si="25"/>
        <v>0</v>
      </c>
      <c r="AA23" s="163">
        <f t="shared" si="26"/>
        <v>1.1960017595836388E-9</v>
      </c>
      <c r="AB23" s="163">
        <f t="shared" si="2"/>
        <v>0</v>
      </c>
      <c r="AC23" s="33">
        <f t="shared" si="3"/>
        <v>0</v>
      </c>
      <c r="AD23" s="37">
        <f>(Branco!$F$19-'MoVOx_N2N2 (2.1)'!F23)/Branco!$F$19*100</f>
        <v>-632.10662786979958</v>
      </c>
      <c r="AE23" s="37">
        <f>((Branco2!$P$10-T23)/(Branco2!$P$10))*100</f>
        <v>9.4279071001052017</v>
      </c>
      <c r="AF23" s="39">
        <f t="shared" si="9"/>
        <v>55.552279076168389</v>
      </c>
      <c r="AG23" s="38">
        <v>0</v>
      </c>
      <c r="AH23" s="38">
        <f t="shared" si="10"/>
        <v>14.189785570476191</v>
      </c>
      <c r="AI23" s="23">
        <f t="shared" si="11"/>
        <v>9.3388265230006535</v>
      </c>
      <c r="AJ23" s="38">
        <f t="shared" si="12"/>
        <v>1.4505120957417139</v>
      </c>
      <c r="AK23" s="23">
        <f t="shared" si="13"/>
        <v>0</v>
      </c>
      <c r="AL23" s="38">
        <f t="shared" si="14"/>
        <v>6.817776878581908</v>
      </c>
      <c r="AM23" s="151">
        <f t="shared" si="15"/>
        <v>0</v>
      </c>
      <c r="AN23" s="38">
        <f t="shared" si="40"/>
        <v>70.040018768140555</v>
      </c>
      <c r="AO23" s="38">
        <f t="shared" si="16"/>
        <v>0.27844971446943378</v>
      </c>
      <c r="AP23" s="23">
        <f t="shared" si="17"/>
        <v>0.31232297870385978</v>
      </c>
      <c r="AQ23" s="38">
        <f t="shared" si="27"/>
        <v>0.60959931856781802</v>
      </c>
      <c r="AR23" s="38">
        <f t="shared" si="28"/>
        <v>2.8652723072989916</v>
      </c>
      <c r="AS23" s="38">
        <f t="shared" si="29"/>
        <v>3.9247809800118905</v>
      </c>
      <c r="AT23" s="38">
        <f t="shared" si="30"/>
        <v>392.78024705897451</v>
      </c>
      <c r="AU23" s="38">
        <f>((T23*3)+(U23*3)+(V23*2)+(W23*2)+(X23)+(Y23)+(AA23))/((Branco!$P$7)*3)*100</f>
        <v>560.79403456362343</v>
      </c>
      <c r="AV23" s="151">
        <f t="shared" si="31"/>
        <v>37.030956800283811</v>
      </c>
      <c r="AW23" s="39">
        <f t="shared" si="32"/>
        <v>0.2269291130996007</v>
      </c>
      <c r="AX23" s="23">
        <f t="shared" si="18"/>
        <v>0</v>
      </c>
      <c r="AY23" s="23">
        <f t="shared" si="18"/>
        <v>4.4270065984581546</v>
      </c>
      <c r="AZ23" s="23">
        <f t="shared" si="18"/>
        <v>2.9135779701421165</v>
      </c>
      <c r="BA23" s="23">
        <f t="shared" si="18"/>
        <v>0.45253866502060458</v>
      </c>
      <c r="BB23" s="151">
        <f t="shared" si="19"/>
        <v>0</v>
      </c>
      <c r="BC23" s="39">
        <f t="shared" si="33"/>
        <v>9.7125660406629102</v>
      </c>
      <c r="BD23" s="23">
        <f t="shared" si="34"/>
        <v>0</v>
      </c>
      <c r="BE23">
        <f t="shared" si="35"/>
        <v>124.17753508675123</v>
      </c>
      <c r="BF23">
        <f t="shared" si="36"/>
        <v>46.733790641079544</v>
      </c>
      <c r="BG23">
        <f t="shared" si="37"/>
        <v>12.675608007227135</v>
      </c>
      <c r="BH23" s="14">
        <f t="shared" si="38"/>
        <v>0</v>
      </c>
      <c r="BI23" s="109">
        <f t="shared" si="41"/>
        <v>4.1741294764094331E-8</v>
      </c>
      <c r="BJ23" s="1">
        <f t="shared" si="42"/>
        <v>0.27184020439061224</v>
      </c>
    </row>
    <row r="24" spans="1:62" s="99" customFormat="1" x14ac:dyDescent="0.25">
      <c r="A24"/>
      <c r="B24" s="224" t="s">
        <v>83</v>
      </c>
      <c r="C24" s="24">
        <v>27</v>
      </c>
      <c r="D24" s="13" t="s">
        <v>21</v>
      </c>
      <c r="E24"/>
      <c r="F24" s="185">
        <f t="shared" si="22"/>
        <v>0.79163776250236484</v>
      </c>
      <c r="G24" s="84">
        <v>17</v>
      </c>
      <c r="H24" s="84">
        <v>240</v>
      </c>
      <c r="I24" s="85">
        <v>37659</v>
      </c>
      <c r="J24" s="86">
        <v>67</v>
      </c>
      <c r="K24" s="86">
        <v>16</v>
      </c>
      <c r="L24" s="86">
        <v>18</v>
      </c>
      <c r="M24" s="86">
        <v>9</v>
      </c>
      <c r="N24" s="86">
        <v>47571</v>
      </c>
      <c r="O24" s="86">
        <v>2</v>
      </c>
      <c r="P24" s="86">
        <v>0</v>
      </c>
      <c r="Q24" s="86">
        <v>13</v>
      </c>
      <c r="R24" s="86"/>
      <c r="S24" s="87"/>
      <c r="T24" s="88">
        <f t="shared" si="8"/>
        <v>5.6291078798751294E-6</v>
      </c>
      <c r="U24" s="164">
        <f t="shared" si="4"/>
        <v>1.0531107075365848E-8</v>
      </c>
      <c r="V24" s="164">
        <f t="shared" si="23"/>
        <v>2.3672080527044789E-9</v>
      </c>
      <c r="W24" s="164">
        <f t="shared" si="6"/>
        <v>2.8003827221426698E-9</v>
      </c>
      <c r="X24" s="164">
        <f t="shared" si="7"/>
        <v>1.8430361974258571E-9</v>
      </c>
      <c r="Y24" s="164">
        <f t="shared" si="24"/>
        <v>2.5445464844330334E-10</v>
      </c>
      <c r="Z24" s="164">
        <f t="shared" si="25"/>
        <v>0</v>
      </c>
      <c r="AA24" s="164">
        <f t="shared" si="26"/>
        <v>1.4134566249624821E-9</v>
      </c>
      <c r="AB24" s="164">
        <f t="shared" si="2"/>
        <v>0</v>
      </c>
      <c r="AC24" s="89">
        <f t="shared" si="3"/>
        <v>0</v>
      </c>
      <c r="AD24" s="37">
        <f>(Branco!$F$19-'MoVOx_N2N2 (2.1)'!F24)/Branco!$F$19*100</f>
        <v>-757.81267532060031</v>
      </c>
      <c r="AE24" s="37">
        <f>((Branco2!$P$10-T24)/(Branco2!$P$10))*100</f>
        <v>0.1184676998700476</v>
      </c>
      <c r="AF24" s="92">
        <f t="shared" si="9"/>
        <v>54.821975624030713</v>
      </c>
      <c r="AG24" s="91">
        <v>0</v>
      </c>
      <c r="AH24" s="91">
        <f t="shared" si="10"/>
        <v>14.578003265238749</v>
      </c>
      <c r="AI24" s="93">
        <f t="shared" si="11"/>
        <v>9.5943270509360516</v>
      </c>
      <c r="AJ24" s="91">
        <f t="shared" si="12"/>
        <v>1.3246191909880918</v>
      </c>
      <c r="AK24" s="93">
        <f t="shared" si="13"/>
        <v>0</v>
      </c>
      <c r="AL24" s="91">
        <f t="shared" si="14"/>
        <v>7.3580568581034953</v>
      </c>
      <c r="AM24" s="101">
        <f t="shared" si="15"/>
        <v>0</v>
      </c>
      <c r="AN24" s="38">
        <f t="shared" si="40"/>
        <v>69.528396700717522</v>
      </c>
      <c r="AO24" s="91">
        <f t="shared" si="16"/>
        <v>23.6369174535469</v>
      </c>
      <c r="AP24" s="93">
        <f t="shared" si="17"/>
        <v>27.962229667984605</v>
      </c>
      <c r="AQ24" s="91">
        <f t="shared" si="27"/>
        <v>0.55998619495228463</v>
      </c>
      <c r="AR24" s="91">
        <f t="shared" si="28"/>
        <v>3.1106376007872441</v>
      </c>
      <c r="AS24" s="91">
        <f t="shared" si="29"/>
        <v>4.0560266187701286</v>
      </c>
      <c r="AT24" s="38">
        <f t="shared" si="30"/>
        <v>429.97301869915879</v>
      </c>
      <c r="AU24" s="91">
        <f>((T24*3)+(U24*3)+(V24*2)+(W24*2)+(X24)+(Y24)+(AA24))/((Branco!$P$7)*3)*100</f>
        <v>618.41353907521</v>
      </c>
      <c r="AV24" s="151">
        <f t="shared" si="31"/>
        <v>0.50937914531470307</v>
      </c>
      <c r="AW24" s="39">
        <f t="shared" si="32"/>
        <v>3.1215223063534854E-3</v>
      </c>
      <c r="AX24" s="93">
        <f t="shared" si="18"/>
        <v>0</v>
      </c>
      <c r="AY24" s="93">
        <f t="shared" si="18"/>
        <v>5.7150106201065906E-2</v>
      </c>
      <c r="AZ24" s="93">
        <f t="shared" si="18"/>
        <v>3.7612614012525046E-2</v>
      </c>
      <c r="BA24" s="93">
        <f t="shared" si="18"/>
        <v>5.1929009798928494E-3</v>
      </c>
      <c r="BB24" s="101">
        <f t="shared" si="19"/>
        <v>0</v>
      </c>
      <c r="BC24" s="92">
        <f t="shared" si="33"/>
        <v>0.13360115471192915</v>
      </c>
      <c r="BD24" s="93">
        <f t="shared" si="34"/>
        <v>0</v>
      </c>
      <c r="BE24" s="99">
        <f t="shared" si="35"/>
        <v>1.6030604789398988</v>
      </c>
      <c r="BF24" s="99">
        <f t="shared" si="36"/>
        <v>0.60330632876090173</v>
      </c>
      <c r="BG24" s="99">
        <f t="shared" si="37"/>
        <v>0.14545315644679871</v>
      </c>
      <c r="BH24" s="100">
        <f t="shared" si="38"/>
        <v>0</v>
      </c>
      <c r="BI24" s="177">
        <f t="shared" si="41"/>
        <v>4.5439450246623475E-8</v>
      </c>
      <c r="BJ24" s="178">
        <f t="shared" si="42"/>
        <v>0.26835224709310529</v>
      </c>
    </row>
    <row r="25" spans="1:62" x14ac:dyDescent="0.25">
      <c r="B25" s="229"/>
      <c r="C25" s="23">
        <f>(C24/1000)*60</f>
        <v>1.6199999999999999</v>
      </c>
      <c r="D25" s="14" t="s">
        <v>22</v>
      </c>
      <c r="F25" s="185">
        <f t="shared" si="22"/>
        <v>0.78366194809571954</v>
      </c>
      <c r="G25" s="17">
        <v>18</v>
      </c>
      <c r="H25" s="17">
        <v>255</v>
      </c>
      <c r="I25" s="40">
        <v>37202</v>
      </c>
      <c r="J25" s="41">
        <v>65</v>
      </c>
      <c r="K25" s="41">
        <v>16</v>
      </c>
      <c r="L25" s="41">
        <v>17</v>
      </c>
      <c r="M25" s="41">
        <v>9</v>
      </c>
      <c r="N25" s="41">
        <v>47472</v>
      </c>
      <c r="O25" s="41">
        <v>2</v>
      </c>
      <c r="P25" s="41">
        <v>0</v>
      </c>
      <c r="Q25" s="41">
        <v>12</v>
      </c>
      <c r="R25" s="41"/>
      <c r="S25" s="42"/>
      <c r="T25" s="32">
        <f t="shared" si="8"/>
        <v>5.5607974547150632E-6</v>
      </c>
      <c r="U25" s="163">
        <f t="shared" si="4"/>
        <v>1.0216745670131046E-8</v>
      </c>
      <c r="V25" s="163">
        <f t="shared" si="23"/>
        <v>2.3672080527044789E-9</v>
      </c>
      <c r="W25" s="163">
        <f t="shared" si="6"/>
        <v>2.6448059042458548E-9</v>
      </c>
      <c r="X25" s="163">
        <f t="shared" si="7"/>
        <v>1.8430361974258571E-9</v>
      </c>
      <c r="Y25" s="163">
        <f t="shared" si="24"/>
        <v>2.5445464844330334E-10</v>
      </c>
      <c r="Z25" s="163">
        <f t="shared" si="25"/>
        <v>0</v>
      </c>
      <c r="AA25" s="163">
        <f t="shared" si="26"/>
        <v>1.3047291922730605E-9</v>
      </c>
      <c r="AB25" s="163">
        <f t="shared" si="2"/>
        <v>0</v>
      </c>
      <c r="AC25" s="33">
        <f t="shared" si="3"/>
        <v>0</v>
      </c>
      <c r="AD25" s="37">
        <f>(Branco!$F$19-'MoVOx_N2N2 (2.1)'!F25)/Branco!$F$19*100</f>
        <v>-749.17014332162375</v>
      </c>
      <c r="AE25" s="37">
        <f>((Branco2!$P$10-T25)/(Branco2!$P$10))*100</f>
        <v>1.3305514052567913</v>
      </c>
      <c r="AF25" s="39">
        <f t="shared" si="9"/>
        <v>54.837404439883109</v>
      </c>
      <c r="AG25" s="38">
        <v>0</v>
      </c>
      <c r="AH25" s="38">
        <f t="shared" si="10"/>
        <v>14.195742530826882</v>
      </c>
      <c r="AI25" s="23">
        <f t="shared" si="11"/>
        <v>9.8923203746824431</v>
      </c>
      <c r="AJ25" s="38">
        <f t="shared" si="12"/>
        <v>1.3657609691790165</v>
      </c>
      <c r="AK25" s="23">
        <f t="shared" si="13"/>
        <v>0</v>
      </c>
      <c r="AL25" s="38">
        <f t="shared" si="14"/>
        <v>7.0030090511475072</v>
      </c>
      <c r="AM25" s="151">
        <f t="shared" si="15"/>
        <v>0</v>
      </c>
      <c r="AN25" s="38">
        <f t="shared" si="40"/>
        <v>69.538750734126495</v>
      </c>
      <c r="AO25" s="38">
        <f t="shared" si="16"/>
        <v>2.1045494609803925</v>
      </c>
      <c r="AP25" s="23">
        <f t="shared" si="17"/>
        <v>2.351345853956186</v>
      </c>
      <c r="AQ25" s="38">
        <f t="shared" si="27"/>
        <v>0.57730249737509953</v>
      </c>
      <c r="AR25" s="38">
        <f t="shared" si="28"/>
        <v>2.9601480094998727</v>
      </c>
      <c r="AS25" s="38">
        <f t="shared" si="29"/>
        <v>4.1814500384878155</v>
      </c>
      <c r="AT25" s="38">
        <f t="shared" si="30"/>
        <v>424.79784742177617</v>
      </c>
      <c r="AU25" s="38">
        <f>((T25*3)+(U25*3)+(V25*2)+(W25*2)+(X25)+(Y25)+(AA25))/((Branco!$P$7)*3)*100</f>
        <v>610.87931971332421</v>
      </c>
      <c r="AV25" s="151">
        <f t="shared" si="31"/>
        <v>5.6521537283710428</v>
      </c>
      <c r="AW25" s="39">
        <f t="shared" si="32"/>
        <v>3.4636918500361623E-2</v>
      </c>
      <c r="AX25" s="23">
        <f t="shared" si="18"/>
        <v>0</v>
      </c>
      <c r="AY25" s="23">
        <f t="shared" si="18"/>
        <v>0.62504144322146526</v>
      </c>
      <c r="AZ25" s="23">
        <f t="shared" si="18"/>
        <v>0.43556088667948406</v>
      </c>
      <c r="BA25" s="23">
        <f t="shared" si="18"/>
        <v>6.0134734440092381E-2</v>
      </c>
      <c r="BB25" s="151">
        <f t="shared" si="19"/>
        <v>0</v>
      </c>
      <c r="BC25" s="39">
        <f t="shared" si="33"/>
        <v>1.4824601118154774</v>
      </c>
      <c r="BD25" s="23">
        <f t="shared" si="34"/>
        <v>0</v>
      </c>
      <c r="BE25">
        <f t="shared" si="35"/>
        <v>17.532412482362101</v>
      </c>
      <c r="BF25">
        <f t="shared" si="36"/>
        <v>6.9863966223389236</v>
      </c>
      <c r="BG25">
        <f t="shared" si="37"/>
        <v>1.6843739116669878</v>
      </c>
      <c r="BH25" s="14">
        <f t="shared" si="38"/>
        <v>0</v>
      </c>
      <c r="BI25" s="109">
        <f t="shared" si="41"/>
        <v>4.4076484962436017E-8</v>
      </c>
      <c r="BJ25" s="1">
        <f t="shared" si="42"/>
        <v>0.2635133892279215</v>
      </c>
    </row>
    <row r="26" spans="1:62" ht="18.75" thickBot="1" x14ac:dyDescent="0.4">
      <c r="B26" s="225"/>
      <c r="C26" s="25">
        <f>(1*C25)/(0.082057*298)</f>
        <v>6.6249577863415121E-2</v>
      </c>
      <c r="D26" s="15" t="s">
        <v>89</v>
      </c>
      <c r="F26" s="185">
        <f t="shared" si="22"/>
        <v>0.80255597803126322</v>
      </c>
      <c r="G26" s="17">
        <v>19</v>
      </c>
      <c r="H26" s="17">
        <v>270</v>
      </c>
      <c r="I26" s="40">
        <v>37993</v>
      </c>
      <c r="J26" s="41">
        <v>65</v>
      </c>
      <c r="K26" s="41">
        <v>16</v>
      </c>
      <c r="L26" s="41">
        <v>17</v>
      </c>
      <c r="M26" s="41">
        <v>9</v>
      </c>
      <c r="N26" s="41">
        <v>47340</v>
      </c>
      <c r="O26" s="41">
        <v>2</v>
      </c>
      <c r="P26" s="41">
        <v>0</v>
      </c>
      <c r="Q26" s="41">
        <v>13</v>
      </c>
      <c r="R26" s="41"/>
      <c r="S26" s="42"/>
      <c r="T26" s="32">
        <f t="shared" si="8"/>
        <v>5.6790327857908018E-6</v>
      </c>
      <c r="U26" s="163">
        <f t="shared" si="4"/>
        <v>1.0216745670131046E-8</v>
      </c>
      <c r="V26" s="163">
        <f t="shared" si="23"/>
        <v>2.3672080527044789E-9</v>
      </c>
      <c r="W26" s="163">
        <f t="shared" si="6"/>
        <v>2.6448059042458548E-9</v>
      </c>
      <c r="X26" s="163">
        <f t="shared" si="7"/>
        <v>1.8430361974258571E-9</v>
      </c>
      <c r="Y26" s="163">
        <f t="shared" si="24"/>
        <v>2.5445464844330334E-10</v>
      </c>
      <c r="Z26" s="163">
        <f t="shared" si="25"/>
        <v>0</v>
      </c>
      <c r="AA26" s="163">
        <f t="shared" si="26"/>
        <v>1.4134566249624821E-9</v>
      </c>
      <c r="AB26" s="163">
        <f t="shared" si="2"/>
        <v>0</v>
      </c>
      <c r="AC26" s="33">
        <f t="shared" si="3"/>
        <v>0</v>
      </c>
      <c r="AD26" s="37">
        <f>(Branco!$F$19-'MoVOx_N2N2 (2.1)'!F26)/Branco!$F$19*100</f>
        <v>-769.64357085919369</v>
      </c>
      <c r="AE26" s="37">
        <f>((Branco2!$P$10-T26)/(Branco2!$P$10))*100</f>
        <v>-0.76738778721786427</v>
      </c>
      <c r="AF26" s="39">
        <f t="shared" si="9"/>
        <v>54.51923883735008</v>
      </c>
      <c r="AG26" s="38">
        <v>0</v>
      </c>
      <c r="AH26" s="38">
        <f t="shared" si="10"/>
        <v>14.113379096199417</v>
      </c>
      <c r="AI26" s="23">
        <f t="shared" si="11"/>
        <v>9.8349253155141891</v>
      </c>
      <c r="AJ26" s="38">
        <f t="shared" si="12"/>
        <v>1.357836849390464</v>
      </c>
      <c r="AK26" s="23">
        <f t="shared" si="13"/>
        <v>0</v>
      </c>
      <c r="AL26" s="38">
        <f t="shared" si="14"/>
        <v>7.5425758661932019</v>
      </c>
      <c r="AM26" s="151">
        <f>(AC26/SUM(U26,W26,X26,Y26,AA26,AC26))*100</f>
        <v>0</v>
      </c>
      <c r="AN26" s="38">
        <f t="shared" si="40"/>
        <v>69.367635344386173</v>
      </c>
      <c r="AO26" s="38">
        <f t="shared" si="16"/>
        <v>-3.6490172105708703</v>
      </c>
      <c r="AP26" s="23">
        <f t="shared" si="17"/>
        <v>-4.0769303112950315</v>
      </c>
      <c r="AQ26" s="38">
        <f t="shared" si="27"/>
        <v>0.57588191761498708</v>
      </c>
      <c r="AR26" s="38">
        <f t="shared" si="28"/>
        <v>3.1989359071597812</v>
      </c>
      <c r="AS26" s="38">
        <f t="shared" si="29"/>
        <v>4.1711606610477281</v>
      </c>
      <c r="AT26" s="38">
        <f t="shared" si="30"/>
        <v>432.74150363341874</v>
      </c>
      <c r="AU26" s="38">
        <f>((T26*3)+(U26*3)+(V26*2)+(W26*2)+(X26)+(Y26)+(AA26))/((Branco!$P$7)*3)*100</f>
        <v>623.8377616376971</v>
      </c>
      <c r="AV26" s="151">
        <f t="shared" si="31"/>
        <v>-3.3208054491058054</v>
      </c>
      <c r="AW26" s="39">
        <f t="shared" si="32"/>
        <v>-2.0350201573406987E-2</v>
      </c>
      <c r="AX26" s="23">
        <f t="shared" si="18"/>
        <v>0</v>
      </c>
      <c r="AY26" s="23">
        <f t="shared" si="18"/>
        <v>-0.35839746782353421</v>
      </c>
      <c r="AZ26" s="23">
        <f t="shared" si="18"/>
        <v>-0.24974970949820613</v>
      </c>
      <c r="BA26" s="23">
        <f t="shared" si="18"/>
        <v>-3.4481132067803406E-2</v>
      </c>
      <c r="BB26" s="151">
        <f t="shared" si="19"/>
        <v>0</v>
      </c>
      <c r="BC26" s="39">
        <f t="shared" si="33"/>
        <v>-0.87098862734181903</v>
      </c>
      <c r="BD26" s="23">
        <f t="shared" si="34"/>
        <v>0</v>
      </c>
      <c r="BE26">
        <f t="shared" si="35"/>
        <v>-10.053048972450135</v>
      </c>
      <c r="BF26">
        <f t="shared" si="36"/>
        <v>-4.0059853403512262</v>
      </c>
      <c r="BG26">
        <f t="shared" si="37"/>
        <v>-0.9658165092191735</v>
      </c>
      <c r="BH26" s="14">
        <f t="shared" si="38"/>
        <v>0</v>
      </c>
      <c r="BI26" s="109">
        <f t="shared" si="41"/>
        <v>4.4185212395125441E-8</v>
      </c>
      <c r="BJ26" s="1">
        <f t="shared" si="42"/>
        <v>0.25867618328946684</v>
      </c>
    </row>
    <row r="27" spans="1:62" ht="15.75" thickBot="1" x14ac:dyDescent="0.3">
      <c r="F27" s="185">
        <f t="shared" si="22"/>
        <v>0.79255745308876235</v>
      </c>
      <c r="G27" s="17">
        <v>20</v>
      </c>
      <c r="H27" s="17">
        <v>285</v>
      </c>
      <c r="I27" s="40">
        <v>37591</v>
      </c>
      <c r="J27" s="41">
        <v>65</v>
      </c>
      <c r="K27" s="41">
        <v>16</v>
      </c>
      <c r="L27" s="41">
        <v>18</v>
      </c>
      <c r="M27" s="41">
        <v>9</v>
      </c>
      <c r="N27" s="41">
        <v>47430</v>
      </c>
      <c r="O27" s="41">
        <v>2</v>
      </c>
      <c r="P27" s="41">
        <v>0</v>
      </c>
      <c r="Q27" s="41">
        <v>13</v>
      </c>
      <c r="R27" s="41"/>
      <c r="S27" s="42"/>
      <c r="T27" s="32">
        <f t="shared" si="8"/>
        <v>5.6189435277725378E-6</v>
      </c>
      <c r="U27" s="163">
        <f t="shared" si="4"/>
        <v>1.0216745670131046E-8</v>
      </c>
      <c r="V27" s="163">
        <f t="shared" si="23"/>
        <v>2.3672080527044789E-9</v>
      </c>
      <c r="W27" s="163">
        <f t="shared" si="6"/>
        <v>2.8003827221426698E-9</v>
      </c>
      <c r="X27" s="163">
        <f t="shared" si="7"/>
        <v>1.8430361974258571E-9</v>
      </c>
      <c r="Y27" s="163">
        <f t="shared" si="24"/>
        <v>2.5445464844330334E-10</v>
      </c>
      <c r="Z27" s="163">
        <f t="shared" si="25"/>
        <v>0</v>
      </c>
      <c r="AA27" s="163">
        <f t="shared" si="26"/>
        <v>1.4134566249624821E-9</v>
      </c>
      <c r="AB27" s="163">
        <f t="shared" si="2"/>
        <v>0</v>
      </c>
      <c r="AC27" s="33">
        <f t="shared" si="3"/>
        <v>0</v>
      </c>
      <c r="AD27" s="37">
        <f>(Branco!$F$19-'MoVOx_N2N2 (2.1)'!F27)/Branco!$F$19*100</f>
        <v>-758.80924506468523</v>
      </c>
      <c r="AE27" s="37">
        <f>((Branco2!$P$10-T27)/(Branco2!$P$10))*100</f>
        <v>0.2988215116124891</v>
      </c>
      <c r="AF27" s="39">
        <f t="shared" si="9"/>
        <v>54.070347477460302</v>
      </c>
      <c r="AG27" s="38">
        <v>0</v>
      </c>
      <c r="AH27" s="38">
        <f t="shared" si="10"/>
        <v>14.820537942801524</v>
      </c>
      <c r="AI27" s="23">
        <f t="shared" si="11"/>
        <v>9.7539481578457465</v>
      </c>
      <c r="AJ27" s="38">
        <f t="shared" si="12"/>
        <v>1.3466569201979501</v>
      </c>
      <c r="AK27" s="23">
        <f t="shared" si="13"/>
        <v>0</v>
      </c>
      <c r="AL27" s="38">
        <f t="shared" si="14"/>
        <v>7.4804730707424394</v>
      </c>
      <c r="AM27" s="151">
        <f>(AC27/SUM(U27,W27,X27,Y27,AA27,AC27))*100</f>
        <v>0</v>
      </c>
      <c r="AN27" s="38">
        <f t="shared" si="40"/>
        <v>68.882562205406359</v>
      </c>
      <c r="AO27" s="38">
        <f t="shared" si="16"/>
        <v>9.3708489312884211</v>
      </c>
      <c r="AP27" s="23">
        <f t="shared" si="17"/>
        <v>11.085617679024189</v>
      </c>
      <c r="AQ27" s="38">
        <f t="shared" si="27"/>
        <v>0.57185489769319842</v>
      </c>
      <c r="AR27" s="38">
        <f t="shared" si="28"/>
        <v>3.1765664278748456</v>
      </c>
      <c r="AS27" s="38">
        <f t="shared" si="29"/>
        <v>4.1419926205775806</v>
      </c>
      <c r="AT27" s="38">
        <f t="shared" si="30"/>
        <v>425.18824883881797</v>
      </c>
      <c r="AU27" s="38">
        <f>((T27*3)+(U27*3)+(V27*2)+(W27*2)+(X27)+(Y27)+(AA27))/((Branco!$P$7)*3)*100</f>
        <v>617.26543732638095</v>
      </c>
      <c r="AV27" s="151">
        <f t="shared" si="31"/>
        <v>1.2705539523788274</v>
      </c>
      <c r="AW27" s="39">
        <f t="shared" si="32"/>
        <v>7.7860716133672748E-3</v>
      </c>
      <c r="AX27" s="23">
        <f t="shared" si="18"/>
        <v>0</v>
      </c>
      <c r="AY27" s="23">
        <f t="shared" si="18"/>
        <v>0.14655305231662863</v>
      </c>
      <c r="AZ27" s="23">
        <f t="shared" si="18"/>
        <v>9.6452023549169374E-2</v>
      </c>
      <c r="BA27" s="23">
        <f t="shared" si="18"/>
        <v>1.3316431754366797E-2</v>
      </c>
      <c r="BB27" s="151">
        <f t="shared" si="19"/>
        <v>0</v>
      </c>
      <c r="BC27" s="39">
        <f t="shared" si="33"/>
        <v>0.33324386505211934</v>
      </c>
      <c r="BD27" s="23">
        <f t="shared" si="34"/>
        <v>0</v>
      </c>
      <c r="BE27">
        <f t="shared" si="35"/>
        <v>4.1108131174814329</v>
      </c>
      <c r="BF27">
        <f t="shared" si="36"/>
        <v>1.5470904577286766</v>
      </c>
      <c r="BG27">
        <f t="shared" si="37"/>
        <v>0.37299325343981399</v>
      </c>
      <c r="BH27" s="14">
        <f t="shared" si="38"/>
        <v>0</v>
      </c>
      <c r="BI27" s="109">
        <f t="shared" si="41"/>
        <v>4.4496366030919066E-8</v>
      </c>
      <c r="BJ27" s="1">
        <f t="shared" si="42"/>
        <v>0.26327143522085522</v>
      </c>
    </row>
    <row r="28" spans="1:62" s="99" customFormat="1" x14ac:dyDescent="0.25">
      <c r="A28"/>
      <c r="B28" s="230" t="s">
        <v>25</v>
      </c>
      <c r="C28" s="231"/>
      <c r="D28" s="21">
        <f>(1*(0.25/1000))/(0.082057*373)</f>
        <v>8.1679964763916645E-6</v>
      </c>
      <c r="E28"/>
      <c r="F28" s="184">
        <f t="shared" si="22"/>
        <v>0.79016566423973833</v>
      </c>
      <c r="G28" s="84">
        <v>21</v>
      </c>
      <c r="H28" s="84">
        <v>300</v>
      </c>
      <c r="I28" s="85">
        <v>37442</v>
      </c>
      <c r="J28" s="86">
        <v>63</v>
      </c>
      <c r="K28" s="86">
        <v>17</v>
      </c>
      <c r="L28" s="86">
        <v>18</v>
      </c>
      <c r="M28" s="86">
        <v>9</v>
      </c>
      <c r="N28" s="86">
        <v>47385</v>
      </c>
      <c r="O28" s="86">
        <v>2</v>
      </c>
      <c r="P28" s="86">
        <v>0</v>
      </c>
      <c r="Q28" s="86">
        <v>12</v>
      </c>
      <c r="R28" s="86"/>
      <c r="S28" s="87"/>
      <c r="T28" s="88">
        <f t="shared" si="8"/>
        <v>5.5966716386065645E-6</v>
      </c>
      <c r="U28" s="164">
        <f t="shared" si="4"/>
        <v>9.9023842648962448E-9</v>
      </c>
      <c r="V28" s="164">
        <f t="shared" si="23"/>
        <v>2.5151585559985088E-9</v>
      </c>
      <c r="W28" s="164">
        <f t="shared" si="6"/>
        <v>2.8003827221426698E-9</v>
      </c>
      <c r="X28" s="164">
        <f t="shared" si="7"/>
        <v>1.8430361974258571E-9</v>
      </c>
      <c r="Y28" s="164">
        <f t="shared" si="24"/>
        <v>2.5445464844330334E-10</v>
      </c>
      <c r="Z28" s="164">
        <f t="shared" si="25"/>
        <v>0</v>
      </c>
      <c r="AA28" s="164">
        <f t="shared" si="26"/>
        <v>1.3047291922730605E-9</v>
      </c>
      <c r="AB28" s="164">
        <f t="shared" si="2"/>
        <v>0</v>
      </c>
      <c r="AC28" s="89">
        <f t="shared" si="3"/>
        <v>0</v>
      </c>
      <c r="AD28" s="37">
        <f>(Branco!$F$19-'MoVOx_N2N2 (2.1)'!F28)/Branco!$F$19*100</f>
        <v>-756.21752080825524</v>
      </c>
      <c r="AE28" s="37">
        <f>((Branco2!$P$10-T28)/(Branco2!$P$10))*100</f>
        <v>0.69400854028343828</v>
      </c>
      <c r="AF28" s="92">
        <f t="shared" si="9"/>
        <v>53.18102493734046</v>
      </c>
      <c r="AG28" s="91">
        <v>0</v>
      </c>
      <c r="AH28" s="91">
        <f t="shared" si="10"/>
        <v>15.03953183359191</v>
      </c>
      <c r="AI28" s="93">
        <f t="shared" si="11"/>
        <v>9.8980761959708321</v>
      </c>
      <c r="AJ28" s="91">
        <f t="shared" si="12"/>
        <v>1.3665556337029607</v>
      </c>
      <c r="AK28" s="93">
        <f t="shared" si="13"/>
        <v>0</v>
      </c>
      <c r="AL28" s="91">
        <f t="shared" si="14"/>
        <v>7.0070837340381411</v>
      </c>
      <c r="AM28" s="101">
        <f>(AC28/SUM(U28,W28,X28,Y28,AA28,AC28))*100</f>
        <v>0</v>
      </c>
      <c r="AN28" s="38">
        <f t="shared" si="40"/>
        <v>67.916880449494883</v>
      </c>
      <c r="AO28" s="91">
        <f t="shared" si="16"/>
        <v>4.2870141687248147</v>
      </c>
      <c r="AP28" s="93">
        <f t="shared" si="17"/>
        <v>4.7731704146626805</v>
      </c>
      <c r="AQ28" s="91">
        <f t="shared" si="27"/>
        <v>0.5817375383490756</v>
      </c>
      <c r="AR28" s="91">
        <f t="shared" si="28"/>
        <v>2.9828889083715358</v>
      </c>
      <c r="AS28" s="91">
        <f t="shared" si="29"/>
        <v>4.213573409399336</v>
      </c>
      <c r="AT28" s="38">
        <f t="shared" si="30"/>
        <v>417.55135605273966</v>
      </c>
      <c r="AU28" s="91">
        <f>((T28*3)+(U28*3)+(V28*2)+(W28*2)+(X28)+(Y28)+(AA28))/((Branco!$P$7)*3)*100</f>
        <v>614.79760744200246</v>
      </c>
      <c r="AV28" s="151">
        <f t="shared" si="31"/>
        <v>2.8978420710753205</v>
      </c>
      <c r="AW28" s="39">
        <f t="shared" si="32"/>
        <v>1.7758243046174616E-2</v>
      </c>
      <c r="AX28" s="93">
        <f t="shared" si="18"/>
        <v>0</v>
      </c>
      <c r="AY28" s="93">
        <f t="shared" si="18"/>
        <v>0.34539669234519454</v>
      </c>
      <c r="AZ28" s="93">
        <f t="shared" si="18"/>
        <v>0.22731843095228343</v>
      </c>
      <c r="BA28" s="93">
        <f t="shared" si="18"/>
        <v>3.1384208033154226E-2</v>
      </c>
      <c r="BB28" s="101">
        <f t="shared" si="19"/>
        <v>0</v>
      </c>
      <c r="BC28" s="92">
        <f t="shared" si="33"/>
        <v>0.76005280237627348</v>
      </c>
      <c r="BD28" s="93">
        <f t="shared" si="34"/>
        <v>0</v>
      </c>
      <c r="BE28" s="99">
        <f t="shared" si="35"/>
        <v>9.6883772202827068</v>
      </c>
      <c r="BF28" s="99">
        <f t="shared" si="36"/>
        <v>3.6461876324746263</v>
      </c>
      <c r="BG28" s="99">
        <f t="shared" si="37"/>
        <v>0.87907166700864992</v>
      </c>
      <c r="BH28" s="100">
        <f t="shared" si="38"/>
        <v>0</v>
      </c>
      <c r="BI28" s="177">
        <f t="shared" si="41"/>
        <v>4.3740455389113307E-8</v>
      </c>
      <c r="BJ28" s="178">
        <f t="shared" si="42"/>
        <v>0.25983777490270354</v>
      </c>
    </row>
    <row r="29" spans="1:62" x14ac:dyDescent="0.25">
      <c r="B29" s="220" t="s">
        <v>28</v>
      </c>
      <c r="C29" s="221"/>
      <c r="D29" s="22">
        <v>0.1</v>
      </c>
      <c r="G29" s="17"/>
      <c r="H29" s="17"/>
      <c r="I29" s="40"/>
      <c r="J29" s="41"/>
      <c r="K29" s="41"/>
      <c r="L29" s="41"/>
      <c r="M29" s="41"/>
      <c r="N29" s="41"/>
      <c r="O29" s="41"/>
      <c r="P29" s="41"/>
      <c r="Q29" s="41"/>
      <c r="R29" s="41"/>
      <c r="S29" s="42"/>
      <c r="T29" s="32"/>
      <c r="U29" s="163"/>
      <c r="V29" s="163"/>
      <c r="W29" s="163"/>
      <c r="X29" s="163"/>
      <c r="Y29" s="163"/>
      <c r="Z29" s="163"/>
      <c r="AA29" s="163"/>
      <c r="AB29" s="163"/>
      <c r="AC29" s="33"/>
      <c r="AD29" s="33"/>
      <c r="AE29" s="37"/>
      <c r="AF29" s="39"/>
      <c r="AG29" s="38"/>
      <c r="AH29" s="38"/>
      <c r="AI29" s="23"/>
      <c r="AJ29" s="38"/>
      <c r="AK29" s="23"/>
      <c r="AL29" s="38"/>
      <c r="AM29" s="151"/>
      <c r="AN29" s="38"/>
      <c r="AO29" s="38"/>
      <c r="AP29" s="23"/>
      <c r="AQ29" s="38"/>
      <c r="AR29" s="38"/>
      <c r="AS29" s="23"/>
      <c r="AT29" s="23"/>
      <c r="AU29" s="38"/>
      <c r="AV29" s="151"/>
      <c r="AW29" s="39"/>
      <c r="AX29" s="23"/>
      <c r="AY29" s="23"/>
      <c r="AZ29" s="23"/>
      <c r="BA29" s="23"/>
      <c r="BB29" s="151"/>
      <c r="BC29" s="39"/>
      <c r="BD29" s="23"/>
      <c r="BH29" s="14"/>
      <c r="BI29" s="109"/>
      <c r="BJ29" s="1"/>
    </row>
    <row r="30" spans="1:62" x14ac:dyDescent="0.25">
      <c r="B30" s="220" t="s">
        <v>90</v>
      </c>
      <c r="C30" s="221"/>
      <c r="D30" s="22">
        <v>0.9</v>
      </c>
      <c r="G30" s="17"/>
      <c r="H30" s="17"/>
      <c r="I30" s="40"/>
      <c r="J30" s="41"/>
      <c r="K30" s="41"/>
      <c r="L30" s="41"/>
      <c r="M30" s="41"/>
      <c r="N30" s="41"/>
      <c r="O30" s="41"/>
      <c r="P30" s="41"/>
      <c r="Q30" s="41"/>
      <c r="R30" s="41"/>
      <c r="S30" s="42"/>
      <c r="T30" s="32"/>
      <c r="U30" s="163"/>
      <c r="V30" s="163"/>
      <c r="W30" s="163"/>
      <c r="X30" s="163"/>
      <c r="Y30" s="163"/>
      <c r="Z30" s="163"/>
      <c r="AA30" s="163"/>
      <c r="AB30" s="163"/>
      <c r="AC30" s="33"/>
      <c r="AD30" s="33"/>
      <c r="AE30" s="37"/>
      <c r="AF30" s="39"/>
      <c r="AG30" s="38"/>
      <c r="AH30" s="38"/>
      <c r="AI30" s="23"/>
      <c r="AJ30" s="38"/>
      <c r="AK30" s="23"/>
      <c r="AL30" s="38"/>
      <c r="AM30" s="151"/>
      <c r="AN30" s="38"/>
      <c r="AO30" s="38"/>
      <c r="AP30" s="23"/>
      <c r="AQ30" s="38"/>
      <c r="AR30" s="38"/>
      <c r="AS30" s="23"/>
      <c r="AT30" s="23"/>
      <c r="AU30" s="38"/>
      <c r="AV30" s="14"/>
      <c r="AW30" s="5"/>
      <c r="AX30" s="23"/>
      <c r="AY30" s="23"/>
      <c r="AZ30" s="23"/>
      <c r="BA30" s="23"/>
      <c r="BB30" s="151"/>
      <c r="BC30" s="39"/>
      <c r="BD30" s="23"/>
      <c r="BH30" s="14"/>
      <c r="BI30" s="109"/>
      <c r="BJ30" s="1"/>
    </row>
    <row r="31" spans="1:62" x14ac:dyDescent="0.25">
      <c r="B31" s="220" t="s">
        <v>26</v>
      </c>
      <c r="C31" s="221"/>
      <c r="D31" s="26">
        <f>D28*D29</f>
        <v>8.1679964763916645E-7</v>
      </c>
      <c r="G31" s="17"/>
      <c r="H31" s="17"/>
      <c r="I31" s="40"/>
      <c r="J31" s="41"/>
      <c r="K31" s="41"/>
      <c r="L31" s="41"/>
      <c r="M31" s="41"/>
      <c r="N31" s="41"/>
      <c r="O31" s="41"/>
      <c r="P31" s="41"/>
      <c r="Q31" s="41"/>
      <c r="R31" s="41"/>
      <c r="S31" s="42"/>
      <c r="T31" s="32"/>
      <c r="U31" s="163"/>
      <c r="V31" s="163"/>
      <c r="W31" s="163"/>
      <c r="X31" s="163"/>
      <c r="Y31" s="163"/>
      <c r="Z31" s="163"/>
      <c r="AA31" s="163"/>
      <c r="AB31" s="163"/>
      <c r="AC31" s="33"/>
      <c r="AD31" s="33"/>
      <c r="AE31" s="37"/>
      <c r="AF31" s="39"/>
      <c r="AG31" s="38"/>
      <c r="AH31" s="38"/>
      <c r="AI31" s="23"/>
      <c r="AJ31" s="38"/>
      <c r="AK31" s="23"/>
      <c r="AL31" s="38"/>
      <c r="AM31" s="151"/>
      <c r="AN31" s="38"/>
      <c r="AO31" s="38"/>
      <c r="AP31" s="23"/>
      <c r="AQ31" s="38"/>
      <c r="AR31" s="38"/>
      <c r="AS31" s="23"/>
      <c r="AT31" s="23"/>
      <c r="AU31" s="38"/>
      <c r="AV31" s="14"/>
      <c r="AW31" s="5"/>
      <c r="AX31" s="23"/>
      <c r="AY31" s="23"/>
      <c r="AZ31" s="23"/>
      <c r="BA31" s="23"/>
      <c r="BB31" s="151"/>
      <c r="BC31" s="39"/>
      <c r="BD31" s="23"/>
      <c r="BH31" s="14"/>
      <c r="BI31" s="109"/>
      <c r="BJ31" s="1"/>
    </row>
    <row r="32" spans="1:62" ht="15.75" thickBot="1" x14ac:dyDescent="0.3">
      <c r="B32" s="222" t="s">
        <v>91</v>
      </c>
      <c r="C32" s="223"/>
      <c r="D32" s="27">
        <f>D28*D30</f>
        <v>7.3511968287524981E-6</v>
      </c>
      <c r="G32" s="18"/>
      <c r="H32" s="18"/>
      <c r="I32" s="43"/>
      <c r="J32" s="44"/>
      <c r="K32" s="44"/>
      <c r="L32" s="44"/>
      <c r="M32" s="44"/>
      <c r="N32" s="44"/>
      <c r="O32" s="44"/>
      <c r="P32" s="44"/>
      <c r="Q32" s="44"/>
      <c r="R32" s="44"/>
      <c r="S32" s="45"/>
      <c r="T32" s="34"/>
      <c r="U32" s="35"/>
      <c r="V32" s="35"/>
      <c r="W32" s="35"/>
      <c r="X32" s="35"/>
      <c r="Y32" s="35"/>
      <c r="Z32" s="35"/>
      <c r="AA32" s="35"/>
      <c r="AB32" s="35"/>
      <c r="AC32" s="36"/>
      <c r="AD32" s="33"/>
      <c r="AE32" s="37"/>
      <c r="AF32" s="102"/>
      <c r="AG32" s="97"/>
      <c r="AH32" s="97"/>
      <c r="AI32" s="152"/>
      <c r="AJ32" s="97"/>
      <c r="AK32" s="152"/>
      <c r="AL32" s="97"/>
      <c r="AM32" s="153"/>
      <c r="AN32" s="97"/>
      <c r="AO32" s="97"/>
      <c r="AP32" s="152"/>
      <c r="AQ32" s="97"/>
      <c r="AR32" s="97"/>
      <c r="AS32" s="152"/>
      <c r="AT32" s="152"/>
      <c r="AU32" s="97"/>
      <c r="AV32" s="15"/>
      <c r="AW32" s="6"/>
      <c r="AX32" s="152"/>
      <c r="AY32" s="152"/>
      <c r="AZ32" s="152"/>
      <c r="BA32" s="152"/>
      <c r="BB32" s="153"/>
      <c r="BC32" s="102"/>
      <c r="BD32" s="152"/>
      <c r="BE32" s="98"/>
      <c r="BF32" s="98"/>
      <c r="BG32" s="98"/>
      <c r="BH32" s="15"/>
      <c r="BI32" s="109"/>
      <c r="BJ32" s="1"/>
    </row>
    <row r="33" spans="2:49" x14ac:dyDescent="0.25">
      <c r="AE33" s="95" t="s">
        <v>50</v>
      </c>
      <c r="AW33" s="1">
        <f>AVERAGE(AW9:AW28)</f>
        <v>6.1048768552050527E-2</v>
      </c>
    </row>
    <row r="34" spans="2:49" ht="15.75" thickBot="1" x14ac:dyDescent="0.3">
      <c r="B34" s="28">
        <f>D28*0.24</f>
        <v>1.9603191543339994E-6</v>
      </c>
      <c r="C34" s="1">
        <v>1028</v>
      </c>
      <c r="AE34" s="96">
        <f>AVERAGE(AE12:AE28)</f>
        <v>1.4898431369082024</v>
      </c>
      <c r="AG34" s="23"/>
    </row>
    <row r="35" spans="2:49" ht="15.75" thickBot="1" x14ac:dyDescent="0.3">
      <c r="B35" s="28">
        <f>B34/C37</f>
        <v>1.9137512082661891E-9</v>
      </c>
      <c r="C35">
        <v>1009</v>
      </c>
    </row>
    <row r="36" spans="2:49" ht="15.75" customHeight="1" thickBot="1" x14ac:dyDescent="0.3">
      <c r="C36">
        <v>1036</v>
      </c>
      <c r="F36" s="217" t="s">
        <v>73</v>
      </c>
      <c r="G36" s="226"/>
      <c r="H36" s="226"/>
      <c r="I36" s="226"/>
      <c r="J36" s="226"/>
      <c r="K36" s="226"/>
      <c r="L36" s="226"/>
      <c r="M36" s="218"/>
      <c r="N36" s="179"/>
      <c r="O36" s="235" t="s">
        <v>34</v>
      </c>
      <c r="P36" s="224" t="s">
        <v>74</v>
      </c>
      <c r="Q36" s="224" t="s">
        <v>75</v>
      </c>
      <c r="R36" s="224" t="s">
        <v>80</v>
      </c>
      <c r="S36" s="224" t="s">
        <v>81</v>
      </c>
      <c r="T36" s="224" t="s">
        <v>82</v>
      </c>
      <c r="U36" s="227" t="s">
        <v>36</v>
      </c>
      <c r="V36" s="237" t="s">
        <v>49</v>
      </c>
      <c r="W36" s="237" t="s">
        <v>59</v>
      </c>
      <c r="AA36" s="175"/>
    </row>
    <row r="37" spans="2:49" ht="15.75" thickBot="1" x14ac:dyDescent="0.3">
      <c r="C37" s="1">
        <f>AVERAGE(C34:C36)</f>
        <v>1024.3333333333333</v>
      </c>
      <c r="F37" s="123" t="s">
        <v>68</v>
      </c>
      <c r="G37" s="167" t="s">
        <v>37</v>
      </c>
      <c r="H37" s="167" t="s">
        <v>38</v>
      </c>
      <c r="I37" s="167" t="s">
        <v>39</v>
      </c>
      <c r="J37" s="167" t="s">
        <v>10</v>
      </c>
      <c r="K37" s="167" t="s">
        <v>8</v>
      </c>
      <c r="L37" s="167" t="s">
        <v>11</v>
      </c>
      <c r="M37" s="168" t="s">
        <v>35</v>
      </c>
      <c r="N37" s="168"/>
      <c r="O37" s="236"/>
      <c r="P37" s="225"/>
      <c r="Q37" s="229"/>
      <c r="R37" s="229"/>
      <c r="S37" s="229"/>
      <c r="T37" s="229"/>
      <c r="U37" s="228"/>
      <c r="V37" s="238"/>
      <c r="W37" s="238"/>
    </row>
    <row r="38" spans="2:49" x14ac:dyDescent="0.25">
      <c r="F38" s="23">
        <f>AVERAGE(AK9:AK12)</f>
        <v>5.8550737813000779</v>
      </c>
      <c r="G38" s="148">
        <f t="shared" ref="G38:I38" si="43">AVERAGE(AF9:AF12)</f>
        <v>49.539318228442063</v>
      </c>
      <c r="H38" s="148">
        <f t="shared" si="43"/>
        <v>0</v>
      </c>
      <c r="I38" s="148">
        <f t="shared" si="43"/>
        <v>4.1389289229188613</v>
      </c>
      <c r="J38" s="148">
        <f>AVERAGE(AI9:AI12)</f>
        <v>2.6956265917003401</v>
      </c>
      <c r="K38" s="148">
        <f>AVERAGE(AJ9:AJ12)</f>
        <v>1.4689634022911817</v>
      </c>
      <c r="L38" s="148">
        <f>AVERAGE(AM9:AM12)</f>
        <v>31.613541265172195</v>
      </c>
      <c r="M38" s="37">
        <f>AVERAGE(AL9:AL12)</f>
        <v>1.9361778833415122</v>
      </c>
      <c r="N38" s="37"/>
      <c r="O38" s="132">
        <f>AVERAGE(AE9:AE12)</f>
        <v>4.7194790957554984</v>
      </c>
      <c r="P38" s="169">
        <f>AVERAGE(AN10:AN12)</f>
        <v>87.548061002407891</v>
      </c>
      <c r="Q38" s="129">
        <f>AVERAGE(AP10:AP12)</f>
        <v>4.5376177459208451</v>
      </c>
      <c r="R38" s="129">
        <f>AVERAGE(AQ10:AQ12)</f>
        <v>0.75234955517758584</v>
      </c>
      <c r="S38" s="129">
        <f t="shared" ref="S38:T42" si="44">AVERAGE(AR10:AR12)</f>
        <v>1.2098957482369384</v>
      </c>
      <c r="T38" s="129">
        <f t="shared" si="44"/>
        <v>1.6959287815486193</v>
      </c>
      <c r="U38" s="132">
        <f>AVERAGE(AU9:AU12)</f>
        <v>597.30423170243751</v>
      </c>
      <c r="V38" s="129">
        <f>AVERAGE(AV9:AV12)</f>
        <v>24.175290733105662</v>
      </c>
      <c r="W38" s="132">
        <f>AVERAGE(BC9:BC12)</f>
        <v>6.3407518488886359</v>
      </c>
    </row>
    <row r="39" spans="2:49" x14ac:dyDescent="0.25">
      <c r="F39" s="23">
        <f>AVERAGE(AK13:AK16)</f>
        <v>0</v>
      </c>
      <c r="G39" s="148">
        <f t="shared" ref="G39:I39" si="45">AVERAGE(AF13:AF16)</f>
        <v>51.024074978665972</v>
      </c>
      <c r="H39" s="148">
        <f t="shared" si="45"/>
        <v>0</v>
      </c>
      <c r="I39" s="148">
        <f t="shared" si="45"/>
        <v>8.3005993344346525</v>
      </c>
      <c r="J39" s="148">
        <f>AVERAGE(AI13:AI16)</f>
        <v>5.5983562328722432</v>
      </c>
      <c r="K39" s="148">
        <f>AVERAGE(AJ13:AJ16)</f>
        <v>1.6387190557133544</v>
      </c>
      <c r="L39" s="148">
        <f>AVERAGE(AM13:AM16)</f>
        <v>22.022242961970367</v>
      </c>
      <c r="M39" s="37">
        <f>AVERAGE(AL13:AL16)</f>
        <v>3.875443358087924</v>
      </c>
      <c r="N39" s="37"/>
      <c r="O39" s="133">
        <f>AVERAGE(AE13:AE16)</f>
        <v>-0.25947962620788351</v>
      </c>
      <c r="P39" s="170">
        <f>AVERAGE(AN13:AN15)</f>
        <v>78.964520114091201</v>
      </c>
      <c r="Q39" s="130">
        <f>AVERAGE(AP13:AP14)</f>
        <v>1.1069015434678535</v>
      </c>
      <c r="R39" s="130">
        <f t="shared" ref="R39:R42" si="46">AVERAGE(AQ11:AQ13)</f>
        <v>0.77384190039432177</v>
      </c>
      <c r="S39" s="130">
        <f t="shared" si="44"/>
        <v>1.5317990209087504</v>
      </c>
      <c r="T39" s="130">
        <f t="shared" si="44"/>
        <v>2.1741983063809762</v>
      </c>
      <c r="U39" s="133">
        <f>AVERAGE(AU13:AU16)</f>
        <v>621.45700062805724</v>
      </c>
      <c r="V39" s="130">
        <f>AVERAGE(AV13:AV16)</f>
        <v>-1.2610714193488279</v>
      </c>
      <c r="W39" s="133">
        <f>AVERAGE(BC13:BC16)</f>
        <v>-0.33075676408998778</v>
      </c>
    </row>
    <row r="40" spans="2:49" x14ac:dyDescent="0.25">
      <c r="F40" s="23">
        <f>AVERAGE(AK17:AK20)</f>
        <v>0</v>
      </c>
      <c r="G40" s="148">
        <f t="shared" ref="G40:I40" si="47">AVERAGE(AF18:AF21)</f>
        <v>58.03861624751417</v>
      </c>
      <c r="H40" s="148">
        <f t="shared" si="47"/>
        <v>0</v>
      </c>
      <c r="I40" s="148">
        <f t="shared" si="47"/>
        <v>13.410394811067894</v>
      </c>
      <c r="J40" s="148">
        <f>AVERAGE(AI18:AI21)</f>
        <v>8.8278632360435871</v>
      </c>
      <c r="K40" s="148">
        <f>AVERAGE(AJ18:AJ21)</f>
        <v>1.7204080649440283</v>
      </c>
      <c r="L40" s="148">
        <f>AVERAGE(AM18:AM21)</f>
        <v>0</v>
      </c>
      <c r="M40" s="37">
        <f>AVERAGE(AL18:AL21)</f>
        <v>6.1645604528607194</v>
      </c>
      <c r="N40" s="37"/>
      <c r="O40" s="133">
        <f>AVERAGE(AE18:AE21)</f>
        <v>3.2262556250055257</v>
      </c>
      <c r="P40" s="170">
        <f>AVERAGE(AN17:AN20)</f>
        <v>72.675629296272334</v>
      </c>
      <c r="Q40" s="130">
        <f>AVERAGE(AP17:AP20)</f>
        <v>4.3973586116347594</v>
      </c>
      <c r="R40" s="130">
        <f t="shared" si="46"/>
        <v>0.80296310299922669</v>
      </c>
      <c r="S40" s="130">
        <f t="shared" si="44"/>
        <v>1.7253781007746951</v>
      </c>
      <c r="T40" s="130">
        <f t="shared" si="44"/>
        <v>2.4974011708460893</v>
      </c>
      <c r="U40" s="133">
        <f>AVERAGE(AU18:AU21)</f>
        <v>599.35384901691634</v>
      </c>
      <c r="V40" s="130">
        <f>AVERAGE(AV18:AV21)</f>
        <v>13.695061715782346</v>
      </c>
      <c r="W40" s="133">
        <f>AVERAGE(BC18:BC21)</f>
        <v>3.5919728475519945</v>
      </c>
    </row>
    <row r="41" spans="2:49" x14ac:dyDescent="0.25">
      <c r="F41" s="23">
        <f>AVERAGE(AK21:AK24)</f>
        <v>0</v>
      </c>
      <c r="G41" s="148">
        <f t="shared" ref="G41:I41" si="48">AVERAGE(AF22:AF25)</f>
        <v>55.287306179270836</v>
      </c>
      <c r="H41" s="148">
        <f t="shared" si="48"/>
        <v>0</v>
      </c>
      <c r="I41" s="148">
        <f t="shared" si="48"/>
        <v>14.20130622235555</v>
      </c>
      <c r="J41" s="148">
        <f>AVERAGE(AI22:AI25)</f>
        <v>9.4838020317404723</v>
      </c>
      <c r="K41" s="148">
        <f>AVERAGE(AJ22:AJ25)</f>
        <v>1.5068661761010378</v>
      </c>
      <c r="L41" s="148">
        <f>AVERAGE(AM22:AM25)</f>
        <v>0</v>
      </c>
      <c r="M41" s="37">
        <f>AVERAGE(AL22:AL25)</f>
        <v>7.1756683464997026</v>
      </c>
      <c r="N41" s="37"/>
      <c r="O41" s="133">
        <f>AVERAGE(AE22:AE25)</f>
        <v>2.9643447586883722</v>
      </c>
      <c r="P41" s="170">
        <f>AVERAGE(AN22,AN24)</f>
        <v>70.105474240644867</v>
      </c>
      <c r="Q41" s="130">
        <f>AVERAGE(AP22,AP24)</f>
        <v>15.670447014114117</v>
      </c>
      <c r="R41" s="130">
        <f t="shared" si="46"/>
        <v>0.83392701393966417</v>
      </c>
      <c r="S41" s="130">
        <f t="shared" si="44"/>
        <v>1.9152742274154473</v>
      </c>
      <c r="T41" s="130">
        <f t="shared" si="44"/>
        <v>2.790030702822456</v>
      </c>
      <c r="U41" s="133">
        <f>AVERAGE(AU22:AU25)</f>
        <v>600.81813101388082</v>
      </c>
      <c r="V41" s="130">
        <f>AVERAGE(AV22:AV25)</f>
        <v>11.86048044132975</v>
      </c>
      <c r="W41" s="133">
        <f>AVERAGE(BC22:BC25)</f>
        <v>3.1107945760538143</v>
      </c>
    </row>
    <row r="42" spans="2:49" ht="15.75" thickBot="1" x14ac:dyDescent="0.3">
      <c r="F42" s="152">
        <f>AVERAGE(AK25:AK28)</f>
        <v>0</v>
      </c>
      <c r="G42" s="154">
        <f>AVERAGE(AF26:AF28)</f>
        <v>53.923537084050281</v>
      </c>
      <c r="H42" s="154">
        <f>AVERAGE(AG26:AG28)</f>
        <v>0</v>
      </c>
      <c r="I42" s="154">
        <f>AVERAGE(AH26:AH28)</f>
        <v>14.657816290864282</v>
      </c>
      <c r="J42" s="154">
        <f>AVERAGE(AI26:AI28)</f>
        <v>9.8289832231102565</v>
      </c>
      <c r="K42" s="154">
        <f>AVERAGE(AJ26:AJ28)</f>
        <v>1.3570164677637917</v>
      </c>
      <c r="L42" s="154">
        <f>AVERAGE(AM26:AM28)</f>
        <v>0</v>
      </c>
      <c r="M42" s="155">
        <f>AVERAGE(AL26:AL28)</f>
        <v>7.3433775569912605</v>
      </c>
      <c r="N42" s="155"/>
      <c r="O42" s="134">
        <f>AVERAGE(AE26:AE28)</f>
        <v>7.5147421559354374E-2</v>
      </c>
      <c r="P42" s="171">
        <f>AVERAGE(AN25,AN27)</f>
        <v>69.210656469766434</v>
      </c>
      <c r="Q42" s="131">
        <f>AVERAGE(AP26,AP28)</f>
        <v>0.34812005168382454</v>
      </c>
      <c r="R42" s="131">
        <f t="shared" si="46"/>
        <v>0.87893995813024584</v>
      </c>
      <c r="S42" s="131">
        <f t="shared" si="44"/>
        <v>2.0306773113734433</v>
      </c>
      <c r="T42" s="131">
        <f t="shared" si="44"/>
        <v>2.9530469534657144</v>
      </c>
      <c r="U42" s="134">
        <f>AVERAGE(AU26:AU28)</f>
        <v>618.63360213536009</v>
      </c>
      <c r="V42" s="131">
        <f>AVERAGE(AV23:AV26)</f>
        <v>9.9679210562159373</v>
      </c>
      <c r="W42" s="134">
        <f>AVERAGE(BC23:BC26)</f>
        <v>2.6144096699621242</v>
      </c>
    </row>
    <row r="43" spans="2:49" x14ac:dyDescent="0.25">
      <c r="O43" s="128"/>
    </row>
  </sheetData>
  <mergeCells count="37">
    <mergeCell ref="AO3:AO4"/>
    <mergeCell ref="AP3:AP4"/>
    <mergeCell ref="AQ3:AQ4"/>
    <mergeCell ref="G2:H2"/>
    <mergeCell ref="G3:G4"/>
    <mergeCell ref="H3:H4"/>
    <mergeCell ref="I3:S3"/>
    <mergeCell ref="T3:AC3"/>
    <mergeCell ref="AD3:AD4"/>
    <mergeCell ref="P36:P37"/>
    <mergeCell ref="BI3:BI4"/>
    <mergeCell ref="BJ3:BJ4"/>
    <mergeCell ref="B21:B23"/>
    <mergeCell ref="B24:B26"/>
    <mergeCell ref="B28:C28"/>
    <mergeCell ref="B29:C29"/>
    <mergeCell ref="AR3:AR4"/>
    <mergeCell ref="AS3:AS4"/>
    <mergeCell ref="AU3:AU4"/>
    <mergeCell ref="AV3:AV4"/>
    <mergeCell ref="AW3:BB3"/>
    <mergeCell ref="BC3:BH3"/>
    <mergeCell ref="AE3:AE4"/>
    <mergeCell ref="AF3:AM3"/>
    <mergeCell ref="AN3:AN4"/>
    <mergeCell ref="B30:C30"/>
    <mergeCell ref="B31:C31"/>
    <mergeCell ref="B32:C32"/>
    <mergeCell ref="F36:M36"/>
    <mergeCell ref="O36:O37"/>
    <mergeCell ref="W36:W37"/>
    <mergeCell ref="Q36:Q37"/>
    <mergeCell ref="R36:R37"/>
    <mergeCell ref="S36:S37"/>
    <mergeCell ref="T36:T37"/>
    <mergeCell ref="U36:U37"/>
    <mergeCell ref="V36:V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Tempos de retenção</vt:lpstr>
      <vt:lpstr>Branco</vt:lpstr>
      <vt:lpstr>MoVOx_N2N2</vt:lpstr>
      <vt:lpstr>MoVOx_O2O2</vt:lpstr>
      <vt:lpstr>Branco2</vt:lpstr>
      <vt:lpstr>MoV-N2 (DHP 2.1)</vt:lpstr>
      <vt:lpstr>Branco3</vt:lpstr>
      <vt:lpstr>V_MoO3</vt:lpstr>
      <vt:lpstr>MoVOx_N2N2 (2.1)</vt:lpstr>
      <vt:lpstr>MoO3 (DHP)</vt:lpstr>
      <vt:lpstr>Branco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Vieira</dc:creator>
  <cp:lastModifiedBy>Letícia Fernanda Rasteiro</cp:lastModifiedBy>
  <dcterms:created xsi:type="dcterms:W3CDTF">2022-07-03T20:55:23Z</dcterms:created>
  <dcterms:modified xsi:type="dcterms:W3CDTF">2025-07-28T17:30:41Z</dcterms:modified>
</cp:coreProperties>
</file>