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977de9933658e4f/Documentos/Mestrado/Resultados - TAG dietético Patauá/Caracterização de enzimas/"/>
    </mc:Choice>
  </mc:AlternateContent>
  <xr:revisionPtr revIDLastSave="334" documentId="13_ncr:1_{82E7DB52-3F0B-4A70-9748-550C765E2F75}" xr6:coauthVersionLast="47" xr6:coauthVersionMax="47" xr10:uidLastSave="{873423C3-18F7-48AD-96E9-565F69E9D8F0}"/>
  <bookViews>
    <workbookView xWindow="-120" yWindow="-120" windowWidth="20730" windowHeight="11040" activeTab="1" xr2:uid="{3FEFB679-B4F7-431F-8933-BD668BC7AE09}"/>
  </bookViews>
  <sheets>
    <sheet name="Atv de Estrf. Lipura 09_2024 " sheetId="2" r:id="rId1"/>
    <sheet name="Atv. Estrf. Lipura 03_2025" sheetId="3" r:id="rId2"/>
    <sheet name="Sheet1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3" l="1"/>
  <c r="K31" i="3"/>
  <c r="K13" i="3"/>
  <c r="B26" i="3"/>
  <c r="B25" i="3"/>
  <c r="B8" i="3"/>
  <c r="B7" i="3"/>
  <c r="H13" i="3" s="1"/>
  <c r="F36" i="3"/>
  <c r="G36" i="3" s="1"/>
  <c r="F35" i="3"/>
  <c r="G35" i="3" s="1"/>
  <c r="F34" i="3"/>
  <c r="G34" i="3" s="1"/>
  <c r="F33" i="3"/>
  <c r="G33" i="3" s="1"/>
  <c r="F32" i="3"/>
  <c r="G32" i="3" s="1"/>
  <c r="F31" i="3"/>
  <c r="G31" i="3" s="1"/>
  <c r="F18" i="3"/>
  <c r="G18" i="3" s="1"/>
  <c r="F17" i="3"/>
  <c r="G17" i="3" s="1"/>
  <c r="F16" i="3"/>
  <c r="G16" i="3" s="1"/>
  <c r="F15" i="3"/>
  <c r="G15" i="3" s="1"/>
  <c r="F14" i="3"/>
  <c r="G14" i="3" s="1"/>
  <c r="F13" i="3"/>
  <c r="G13" i="3" s="1"/>
  <c r="K13" i="2"/>
  <c r="K31" i="2"/>
  <c r="J14" i="2"/>
  <c r="I13" i="2"/>
  <c r="B26" i="2"/>
  <c r="B25" i="2"/>
  <c r="H31" i="2" s="1"/>
  <c r="B8" i="2"/>
  <c r="B7" i="2"/>
  <c r="F13" i="2"/>
  <c r="F18" i="2"/>
  <c r="F17" i="2"/>
  <c r="F16" i="2"/>
  <c r="F15" i="2"/>
  <c r="F14" i="2"/>
  <c r="I13" i="3" l="1"/>
  <c r="H31" i="3"/>
  <c r="I31" i="3"/>
  <c r="H32" i="3"/>
  <c r="H14" i="3"/>
  <c r="H13" i="2"/>
  <c r="H14" i="2" s="1"/>
  <c r="H15" i="2" s="1"/>
  <c r="H16" i="2" s="1"/>
  <c r="H17" i="2" s="1"/>
  <c r="H18" i="2" s="1"/>
  <c r="G14" i="2"/>
  <c r="G15" i="2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G18" i="2"/>
  <c r="G17" i="2"/>
  <c r="G16" i="2"/>
  <c r="G13" i="2"/>
  <c r="I14" i="3" l="1"/>
  <c r="J14" i="3" s="1"/>
  <c r="H15" i="3"/>
  <c r="I32" i="3"/>
  <c r="J32" i="3" s="1"/>
  <c r="H33" i="3"/>
  <c r="I31" i="2"/>
  <c r="I33" i="3" l="1"/>
  <c r="J33" i="3" s="1"/>
  <c r="H34" i="3"/>
  <c r="I15" i="3"/>
  <c r="J15" i="3" s="1"/>
  <c r="H16" i="3"/>
  <c r="H32" i="2"/>
  <c r="I32" i="2" s="1"/>
  <c r="J32" i="2" s="1"/>
  <c r="I14" i="2"/>
  <c r="I16" i="3" l="1"/>
  <c r="J16" i="3" s="1"/>
  <c r="H17" i="3"/>
  <c r="I34" i="3"/>
  <c r="J34" i="3" s="1"/>
  <c r="H35" i="3"/>
  <c r="H33" i="2"/>
  <c r="H34" i="2" s="1"/>
  <c r="I15" i="2"/>
  <c r="J15" i="2" s="1"/>
  <c r="H36" i="3" l="1"/>
  <c r="I36" i="3" s="1"/>
  <c r="J36" i="3" s="1"/>
  <c r="I35" i="3"/>
  <c r="J35" i="3" s="1"/>
  <c r="H18" i="3"/>
  <c r="I18" i="3" s="1"/>
  <c r="J18" i="3" s="1"/>
  <c r="I17" i="3"/>
  <c r="J17" i="3" s="1"/>
  <c r="I33" i="2"/>
  <c r="J33" i="2" s="1"/>
  <c r="H35" i="2"/>
  <c r="I34" i="2"/>
  <c r="J34" i="2" s="1"/>
  <c r="I16" i="2"/>
  <c r="J16" i="2" s="1"/>
  <c r="I18" i="2" l="1"/>
  <c r="J18" i="2" s="1"/>
  <c r="I17" i="2"/>
  <c r="J17" i="2" s="1"/>
  <c r="I35" i="2"/>
  <c r="J35" i="2" s="1"/>
  <c r="H36" i="2"/>
  <c r="I36" i="2" s="1"/>
  <c r="J36" i="2" s="1"/>
  <c r="J1" i="2"/>
</calcChain>
</file>

<file path=xl/sharedStrings.xml><?xml version="1.0" encoding="utf-8"?>
<sst xmlns="http://schemas.openxmlformats.org/spreadsheetml/2006/main" count="124" uniqueCount="36">
  <si>
    <t>NaOH</t>
  </si>
  <si>
    <t>Massa Molar ácido</t>
  </si>
  <si>
    <t>Temperatura</t>
  </si>
  <si>
    <r>
      <t>40</t>
    </r>
    <r>
      <rPr>
        <b/>
        <sz val="11"/>
        <color indexed="8"/>
        <rFont val="Calibri"/>
        <family val="2"/>
      </rPr>
      <t>°C</t>
    </r>
  </si>
  <si>
    <t>densidade ácido</t>
  </si>
  <si>
    <t>Ác. Oleico (mL)</t>
  </si>
  <si>
    <t>Massa Molar álcool</t>
  </si>
  <si>
    <t>Etanol (mL)</t>
  </si>
  <si>
    <t>densidade álcool</t>
  </si>
  <si>
    <t>Enzima (g)</t>
  </si>
  <si>
    <t>Proporção álc.:ác.</t>
  </si>
  <si>
    <t>Volume de NaOH</t>
  </si>
  <si>
    <t>0,6 mL</t>
  </si>
  <si>
    <t>Reator 1</t>
  </si>
  <si>
    <r>
      <t>em 300</t>
    </r>
    <r>
      <rPr>
        <b/>
        <sz val="11"/>
        <color indexed="8"/>
        <rFont val="Symbol"/>
        <family val="1"/>
        <charset val="2"/>
      </rPr>
      <t>m</t>
    </r>
    <r>
      <rPr>
        <b/>
        <sz val="11"/>
        <color indexed="8"/>
        <rFont val="Calibri"/>
        <family val="2"/>
      </rPr>
      <t>L de amostra</t>
    </r>
  </si>
  <si>
    <t>após retirada de amostras</t>
  </si>
  <si>
    <t>Tempo (min)</t>
  </si>
  <si>
    <r>
      <t>Alíquota (</t>
    </r>
    <r>
      <rPr>
        <b/>
        <sz val="11"/>
        <color indexed="8"/>
        <rFont val="Calibri"/>
        <family val="2"/>
      </rPr>
      <t>µL)</t>
    </r>
  </si>
  <si>
    <t>Amostra 1</t>
  </si>
  <si>
    <t>Amostra 2</t>
  </si>
  <si>
    <t>Média (mL)</t>
  </si>
  <si>
    <r>
      <t>Número de mol de ácido (C</t>
    </r>
    <r>
      <rPr>
        <b/>
        <vertAlign val="subscript"/>
        <sz val="11"/>
        <color indexed="8"/>
        <rFont val="Calibri"/>
        <family val="2"/>
      </rPr>
      <t>base</t>
    </r>
    <r>
      <rPr>
        <b/>
        <sz val="11"/>
        <color indexed="8"/>
        <rFont val="Calibri"/>
        <family val="2"/>
      </rPr>
      <t>*V</t>
    </r>
    <r>
      <rPr>
        <b/>
        <vertAlign val="subscript"/>
        <sz val="11"/>
        <color indexed="8"/>
        <rFont val="Calibri"/>
        <family val="2"/>
      </rPr>
      <t>base</t>
    </r>
    <r>
      <rPr>
        <b/>
        <sz val="11"/>
        <color indexed="8"/>
        <rFont val="Calibri"/>
        <family val="2"/>
      </rPr>
      <t>)</t>
    </r>
  </si>
  <si>
    <t>Volume de reação (mL)</t>
  </si>
  <si>
    <t>Numero de mols no volume reacional total</t>
  </si>
  <si>
    <t>Consumo de ác. (mol)</t>
  </si>
  <si>
    <t xml:space="preserve"> </t>
  </si>
  <si>
    <t>Reator 2</t>
  </si>
  <si>
    <t>Atividade de Esterificação - reator 1</t>
  </si>
  <si>
    <t>Atividade de Esterificação - reator 2 (duplicata)</t>
  </si>
  <si>
    <t>enzima: Lipura NS40019</t>
  </si>
  <si>
    <t>Atividade de esterificação média</t>
  </si>
  <si>
    <t xml:space="preserve">Resultado ==&gt; </t>
  </si>
  <si>
    <t>µmol/g*min</t>
  </si>
  <si>
    <r>
      <t>U (</t>
    </r>
    <r>
      <rPr>
        <b/>
        <sz val="11"/>
        <color indexed="8"/>
        <rFont val="Symbol"/>
        <family val="1"/>
        <charset val="2"/>
      </rPr>
      <t>m</t>
    </r>
    <r>
      <rPr>
        <b/>
        <sz val="11"/>
        <color indexed="8"/>
        <rFont val="Arial"/>
        <family val="2"/>
      </rPr>
      <t>mol</t>
    </r>
    <r>
      <rPr>
        <b/>
        <sz val="11"/>
        <color indexed="8"/>
        <rFont val="Calibri"/>
        <family val="2"/>
      </rPr>
      <t>/g*min)</t>
    </r>
  </si>
  <si>
    <t>Atividade de Esterificação - Lipura NS40019 02/09/2024</t>
  </si>
  <si>
    <t>Atividade de Esterificação - Lipura 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</si>
</sst>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222222"/>
      <name val="Arial"/>
      <family val="2"/>
    </font>
    <font>
      <b/>
      <sz val="11"/>
      <color indexed="8"/>
      <name val="Calibri"/>
      <family val="2"/>
    </font>
    <font>
      <b/>
      <sz val="11"/>
      <color indexed="8"/>
      <name val="Symbol"/>
      <family val="1"/>
      <charset val="2"/>
    </font>
    <font>
      <b/>
      <vertAlign val="subscript"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4" borderId="10" xfId="0" applyFont="1" applyFill="1" applyBorder="1" applyAlignment="1">
      <alignment horizontal="center" vertical="center"/>
    </xf>
    <xf numFmtId="164" fontId="1" fillId="4" borderId="11" xfId="0" applyNumberFormat="1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164" fontId="1" fillId="4" borderId="8" xfId="0" applyNumberFormat="1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1" fontId="0" fillId="0" borderId="27" xfId="0" applyNumberForma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29" xfId="0" applyNumberFormat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1" fontId="0" fillId="0" borderId="33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2" fontId="0" fillId="0" borderId="35" xfId="0" applyNumberForma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1" fontId="0" fillId="0" borderId="39" xfId="0" applyNumberFormat="1" applyBorder="1" applyAlignment="1">
      <alignment horizontal="center" vertical="center"/>
    </xf>
    <xf numFmtId="2" fontId="0" fillId="0" borderId="38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0" fillId="0" borderId="41" xfId="0" applyNumberFormat="1" applyBorder="1" applyAlignment="1">
      <alignment horizontal="center" vertical="center"/>
    </xf>
    <xf numFmtId="165" fontId="0" fillId="0" borderId="42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2" fontId="0" fillId="0" borderId="44" xfId="0" applyNumberFormat="1" applyBorder="1" applyAlignment="1">
      <alignment horizontal="center" vertical="center"/>
    </xf>
    <xf numFmtId="2" fontId="0" fillId="0" borderId="46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2" fontId="0" fillId="0" borderId="47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0" fillId="0" borderId="48" xfId="0" applyBorder="1"/>
    <xf numFmtId="2" fontId="0" fillId="0" borderId="49" xfId="0" applyNumberFormat="1" applyBorder="1" applyAlignment="1">
      <alignment horizontal="center" vertical="center"/>
    </xf>
    <xf numFmtId="165" fontId="0" fillId="0" borderId="48" xfId="0" applyNumberForma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2" fontId="1" fillId="7" borderId="3" xfId="0" applyNumberFormat="1" applyFont="1" applyFill="1" applyBorder="1" applyAlignment="1">
      <alignment horizontal="center" vertical="center"/>
    </xf>
    <xf numFmtId="0" fontId="1" fillId="8" borderId="19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2" fontId="1" fillId="2" borderId="23" xfId="0" applyNumberFormat="1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5" fontId="0" fillId="0" borderId="50" xfId="0" applyNumberForma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2" fontId="9" fillId="10" borderId="0" xfId="0" applyNumberFormat="1" applyFont="1" applyFill="1" applyAlignment="1">
      <alignment horizontal="center" vertical="center"/>
    </xf>
    <xf numFmtId="0" fontId="9" fillId="10" borderId="0" xfId="0" applyFont="1" applyFill="1" applyAlignment="1">
      <alignment horizontal="center"/>
    </xf>
    <xf numFmtId="2" fontId="0" fillId="0" borderId="0" xfId="0" applyNumberFormat="1"/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8" borderId="17" xfId="0" applyFont="1" applyFill="1" applyBorder="1" applyAlignment="1">
      <alignment horizontal="center" vertical="center"/>
    </xf>
    <xf numFmtId="0" fontId="1" fillId="8" borderId="18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0" fontId="1" fillId="8" borderId="20" xfId="0" applyFont="1" applyFill="1" applyBorder="1" applyAlignment="1">
      <alignment horizontal="center" vertical="center"/>
    </xf>
    <xf numFmtId="0" fontId="1" fillId="8" borderId="2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343613298337707"/>
                  <c:y val="-2.3148156586525439E-2"/>
                </c:manualLayout>
              </c:layout>
              <c:numFmt formatCode="0.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'Atv de Estrf. Lipura 09_2024 '!$A$14:$A$18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'Atv de Estrf. Lipura 09_2024 '!$J$15:$J$18</c:f>
              <c:numCache>
                <c:formatCode>0.0000E+00</c:formatCode>
                <c:ptCount val="4"/>
                <c:pt idx="0">
                  <c:v>2.7851780264956105E-3</c:v>
                </c:pt>
                <c:pt idx="1">
                  <c:v>7.7758968478591969E-3</c:v>
                </c:pt>
                <c:pt idx="2">
                  <c:v>1.205030356324038E-2</c:v>
                </c:pt>
                <c:pt idx="3">
                  <c:v>1.9720585152976342E-2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ED-4595-8A04-E0E6D6E72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66927"/>
        <c:axId val="26695743"/>
      </c:scatterChart>
      <c:valAx>
        <c:axId val="18230669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aseline="0"/>
                  <a:t>time (min)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95743"/>
        <c:crosses val="autoZero"/>
        <c:crossBetween val="midCat"/>
      </c:valAx>
      <c:valAx>
        <c:axId val="2669574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conume</a:t>
                </a:r>
                <a:r>
                  <a:rPr lang="en-US" baseline="0"/>
                  <a:t> of acid </a:t>
                </a:r>
                <a:r>
                  <a:rPr lang="en-US"/>
                  <a:t>(mol)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669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914914215452217"/>
                  <c:y val="-9.9987744178942309E-2"/>
                </c:manualLayout>
              </c:layout>
              <c:numFmt formatCode="0.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'Atv de Estrf. Lipura 09_2024 '!$A$32:$A$36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'Atv de Estrf. Lipura 09_2024 '!$J$33:$J$36</c:f>
              <c:numCache>
                <c:formatCode>0.0000E+00</c:formatCode>
                <c:ptCount val="4"/>
                <c:pt idx="0">
                  <c:v>4.8120963988076484E-3</c:v>
                </c:pt>
                <c:pt idx="1">
                  <c:v>9.1808791263957717E-3</c:v>
                </c:pt>
                <c:pt idx="2">
                  <c:v>1.4015719406504253E-2</c:v>
                </c:pt>
                <c:pt idx="3">
                  <c:v>1.9350893497886455E-2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01-43C8-96ED-8FCE19000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2794047"/>
        <c:axId val="26690783"/>
      </c:scatterChart>
      <c:valAx>
        <c:axId val="18227940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90783"/>
        <c:crosses val="autoZero"/>
        <c:crossBetween val="midCat"/>
      </c:valAx>
      <c:valAx>
        <c:axId val="266907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Consumo de ácido (mol)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27940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'Atv. Estrf. Lipura 03_2025'!$B$1:$G$1</c:f>
              <c:strCache>
                <c:ptCount val="1"/>
                <c:pt idx="0">
                  <c:v>Atividade de Esterificação - Lipura 03/2025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513775342826001"/>
                  <c:y val="8.4947990763550637E-3"/>
                </c:manualLayout>
              </c:layout>
              <c:numFmt formatCode="#,##0.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'Atv. Estrf. Lipura 03_2025'!$A$14:$A$18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'Atv. Estrf. Lipura 03_2025'!$J$14:$J$18</c:f>
              <c:numCache>
                <c:formatCode>0.0000E+00</c:formatCode>
                <c:ptCount val="5"/>
                <c:pt idx="0">
                  <c:v>2.8016558189066232E-3</c:v>
                </c:pt>
                <c:pt idx="1">
                  <c:v>6.2909712853410488E-3</c:v>
                </c:pt>
                <c:pt idx="2">
                  <c:v>1.0793942570682079E-2</c:v>
                </c:pt>
                <c:pt idx="3">
                  <c:v>1.5992771589240333E-2</c:v>
                </c:pt>
                <c:pt idx="4">
                  <c:v>2.3417708416990611E-2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3B-4438-998E-7657BB6EC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751359"/>
        <c:axId val="1042271840"/>
      </c:scatterChart>
      <c:valAx>
        <c:axId val="719751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271840"/>
        <c:crosses val="autoZero"/>
        <c:crossBetween val="midCat"/>
      </c:valAx>
      <c:valAx>
        <c:axId val="104227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751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'Atv. Estrf. Lipura 03_2025'!$B$21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099365704286966"/>
                  <c:y val="-3.7131816856226303E-2"/>
                </c:manualLayout>
              </c:layout>
              <c:numFmt formatCode="#,##0.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'Atv. Estrf. Lipura 03_2025'!$A$32:$A$36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'Atv. Estrf. Lipura 03_2025'!$J$32:$J$36</c:f>
              <c:numCache>
                <c:formatCode>0.0000E+00</c:formatCode>
                <c:ptCount val="5"/>
                <c:pt idx="0">
                  <c:v>3.7888267986490309E-3</c:v>
                </c:pt>
                <c:pt idx="1">
                  <c:v>7.2937051440547865E-3</c:v>
                </c:pt>
                <c:pt idx="2">
                  <c:v>1.2353539155001397E-2</c:v>
                </c:pt>
                <c:pt idx="3">
                  <c:v>1.8266935018515784E-2</c:v>
                </c:pt>
                <c:pt idx="4">
                  <c:v>2.4158202015138339E-2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BF-4A41-86A7-11AD6F9C9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130559"/>
        <c:axId val="613129599"/>
      </c:scatterChart>
      <c:valAx>
        <c:axId val="613130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29599"/>
        <c:crosses val="autoZero"/>
        <c:crossBetween val="midCat"/>
      </c:valAx>
      <c:valAx>
        <c:axId val="613129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30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'Atv. Estrf. Lipura 03_2025'!$B$1:$G$1</c:f>
              <c:strCache>
                <c:ptCount val="1"/>
                <c:pt idx="0">
                  <c:v>Atividade de Esterificação - Lipura 03/2025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2"/>
            <c:spPr>
              <a:solidFill>
                <a:schemeClr val="accent2"/>
              </a:solidFill>
              <a:ln w="6350">
                <a:solidFill>
                  <a:schemeClr val="accent2"/>
                </a:solidFill>
              </a:ln>
              <a:effectLst/>
            </c:spPr>
          </c:marker>
          <c:trendline>
            <c:spPr>
              <a:ln w="41275" cap="rnd">
                <a:solidFill>
                  <a:schemeClr val="accent1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xVal>
            <c:numRef>
              <c:f>'Atv. Estrf. Lipura 03_2025'!$A$14:$A$18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'Atv. Estrf. Lipura 03_2025'!$J$14:$J$18</c:f>
              <c:numCache>
                <c:formatCode>0.0000E+00</c:formatCode>
                <c:ptCount val="5"/>
                <c:pt idx="0">
                  <c:v>2.8016558189066232E-3</c:v>
                </c:pt>
                <c:pt idx="1">
                  <c:v>6.2909712853410488E-3</c:v>
                </c:pt>
                <c:pt idx="2">
                  <c:v>1.0793942570682079E-2</c:v>
                </c:pt>
                <c:pt idx="3">
                  <c:v>1.5992771589240333E-2</c:v>
                </c:pt>
                <c:pt idx="4">
                  <c:v>2.3417708416990611E-2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038-4C78-8469-EF3CF9830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751359"/>
        <c:axId val="1042271840"/>
      </c:scatterChart>
      <c:valAx>
        <c:axId val="719751359"/>
        <c:scaling>
          <c:orientation val="minMax"/>
          <c:max val="65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42271840"/>
        <c:crosses val="autoZero"/>
        <c:crossBetween val="midCat"/>
      </c:valAx>
      <c:valAx>
        <c:axId val="10422718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Consumo de ácido oleico (µmol)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19751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398860</xdr:colOff>
      <xdr:row>5</xdr:row>
      <xdr:rowOff>146445</xdr:rowOff>
    </xdr:from>
    <xdr:to>
      <xdr:col>19</xdr:col>
      <xdr:colOff>113110</xdr:colOff>
      <xdr:row>19</xdr:row>
      <xdr:rowOff>55957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F1260C-1CD0-CEC5-B2B1-EEACAE6B5B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547688</xdr:colOff>
      <xdr:row>22</xdr:row>
      <xdr:rowOff>51196</xdr:rowOff>
    </xdr:from>
    <xdr:to>
      <xdr:col>19</xdr:col>
      <xdr:colOff>261938</xdr:colOff>
      <xdr:row>35</xdr:row>
      <xdr:rowOff>151208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807A73A-C521-0503-99EB-2C489581A2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218722</xdr:colOff>
      <xdr:row>3</xdr:row>
      <xdr:rowOff>101245</xdr:rowOff>
    </xdr:from>
    <xdr:to>
      <xdr:col>19</xdr:col>
      <xdr:colOff>469194</xdr:colOff>
      <xdr:row>17</xdr:row>
      <xdr:rowOff>75139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2AAAF-E4C5-5D28-B063-75E4CE65BB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233293</xdr:colOff>
      <xdr:row>21</xdr:row>
      <xdr:rowOff>126172</xdr:rowOff>
    </xdr:from>
    <xdr:to>
      <xdr:col>19</xdr:col>
      <xdr:colOff>553554</xdr:colOff>
      <xdr:row>35</xdr:row>
      <xdr:rowOff>122306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566EE79-9DB3-E514-D25B-9745E0BD17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0</xdr:colOff>
      <xdr:row>4</xdr:row>
      <xdr:rowOff>-1</xdr:rowOff>
    </xdr:from>
    <xdr:to>
      <xdr:col>35</xdr:col>
      <xdr:colOff>404812</xdr:colOff>
      <xdr:row>34</xdr:row>
      <xdr:rowOff>71436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FC22CB-661D-488F-A315-43EA5E6D72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F61E-46E6-4928-AEA4-320F6E73EDE4}">
  <dimension ref="A1:K36"/>
  <sheetViews>
    <sheetView topLeftCell="H1" zoomScale="85" zoomScaleNormal="85" workbookViewId="0">
      <selection activeCell="Z42" sqref="Z42"/>
    </sheetView>
  </sheetViews>
  <sheetFormatPr defaultRowHeight="15" x14ac:dyDescent="0.25"/>
  <cols>
    <col min="1" max="1" width="20.140625" bestFit="1" customWidth="1"/>
    <col min="2" max="2" width="17.42578125" bestFit="1" customWidth="1"/>
    <col min="3" max="3" width="13.7109375" bestFit="1" customWidth="1"/>
    <col min="4" max="4" width="14.140625" bestFit="1" customWidth="1"/>
    <col min="5" max="5" width="9.140625" customWidth="1"/>
    <col min="6" max="6" width="14.85546875" bestFit="1" customWidth="1"/>
    <col min="7" max="7" width="46.85546875" bestFit="1" customWidth="1"/>
    <col min="8" max="8" width="33.28515625" bestFit="1" customWidth="1"/>
    <col min="9" max="9" width="57.7109375" bestFit="1" customWidth="1"/>
    <col min="10" max="10" width="28.28515625" bestFit="1" customWidth="1"/>
    <col min="11" max="11" width="23.42578125" bestFit="1" customWidth="1"/>
  </cols>
  <sheetData>
    <row r="1" spans="1:11" ht="18" x14ac:dyDescent="0.25">
      <c r="B1" s="85" t="s">
        <v>34</v>
      </c>
      <c r="C1" s="85"/>
      <c r="D1" s="85"/>
      <c r="E1" s="85"/>
      <c r="F1" s="85"/>
      <c r="G1" s="85"/>
      <c r="H1" s="69" t="s">
        <v>31</v>
      </c>
      <c r="I1" s="69" t="s">
        <v>30</v>
      </c>
      <c r="J1" s="70">
        <f>AVERAGE(K31,K13)</f>
        <v>2584.1630601157149</v>
      </c>
      <c r="K1" s="71" t="s">
        <v>32</v>
      </c>
    </row>
    <row r="3" spans="1:11" ht="15.75" thickBot="1" x14ac:dyDescent="0.3"/>
    <row r="4" spans="1:11" ht="15.75" thickBot="1" x14ac:dyDescent="0.3">
      <c r="A4" s="86" t="s">
        <v>27</v>
      </c>
      <c r="B4" s="87"/>
      <c r="C4" s="87"/>
      <c r="D4" s="87"/>
      <c r="E4" s="87"/>
      <c r="F4" s="87"/>
      <c r="G4" s="87"/>
      <c r="H4" s="87"/>
      <c r="I4" s="87"/>
      <c r="J4" s="87"/>
      <c r="K4" s="88"/>
    </row>
    <row r="5" spans="1:11" ht="15.75" thickBot="1" x14ac:dyDescent="0.3">
      <c r="A5" s="1" t="s">
        <v>0</v>
      </c>
      <c r="B5" s="2">
        <v>4.2000000000000003E-2</v>
      </c>
      <c r="C5" s="3"/>
      <c r="E5" s="73" t="s">
        <v>29</v>
      </c>
      <c r="F5" s="74"/>
      <c r="G5" s="75"/>
      <c r="J5" s="4" t="s">
        <v>1</v>
      </c>
      <c r="K5" s="5">
        <v>282.45999999999998</v>
      </c>
    </row>
    <row r="6" spans="1:11" x14ac:dyDescent="0.25">
      <c r="A6" s="6" t="s">
        <v>2</v>
      </c>
      <c r="B6" s="7" t="s">
        <v>3</v>
      </c>
      <c r="C6" s="3"/>
      <c r="D6" s="8"/>
      <c r="E6" s="18"/>
      <c r="F6" s="18"/>
      <c r="J6" s="9" t="s">
        <v>4</v>
      </c>
      <c r="K6" s="10">
        <v>0.89500000000000002</v>
      </c>
    </row>
    <row r="7" spans="1:11" x14ac:dyDescent="0.25">
      <c r="A7" s="4" t="s">
        <v>5</v>
      </c>
      <c r="B7" s="11">
        <f>14.1051/K6</f>
        <v>15.759888268156425</v>
      </c>
      <c r="C7" s="3"/>
      <c r="D7" s="8"/>
      <c r="E7" s="55"/>
      <c r="F7" s="55"/>
      <c r="G7" s="3"/>
      <c r="H7" s="3"/>
      <c r="I7" s="3"/>
      <c r="J7" s="12" t="s">
        <v>6</v>
      </c>
      <c r="K7" s="13">
        <v>46.06</v>
      </c>
    </row>
    <row r="8" spans="1:11" ht="15.75" thickBot="1" x14ac:dyDescent="0.3">
      <c r="A8" s="6" t="s">
        <v>7</v>
      </c>
      <c r="B8" s="7">
        <f>2.306/K8</f>
        <v>2.9226869455006335</v>
      </c>
      <c r="C8" s="3"/>
      <c r="D8" s="8"/>
      <c r="E8" s="3"/>
      <c r="F8" s="3"/>
      <c r="G8" s="3"/>
      <c r="H8" s="3"/>
      <c r="I8" s="3"/>
      <c r="J8" s="4" t="s">
        <v>8</v>
      </c>
      <c r="K8" s="14">
        <v>0.78900000000000003</v>
      </c>
    </row>
    <row r="9" spans="1:11" ht="15.75" thickBot="1" x14ac:dyDescent="0.3">
      <c r="A9" s="15" t="s">
        <v>9</v>
      </c>
      <c r="B9" s="16">
        <v>0.19989999999999999</v>
      </c>
      <c r="C9" s="3"/>
      <c r="D9" s="3"/>
      <c r="E9" s="3"/>
      <c r="F9" s="3"/>
      <c r="G9" s="3"/>
      <c r="H9" s="3"/>
      <c r="I9" s="3"/>
      <c r="J9" s="56" t="s">
        <v>10</v>
      </c>
      <c r="K9" s="57">
        <v>1</v>
      </c>
    </row>
    <row r="10" spans="1:11" ht="15.75" thickBot="1" x14ac:dyDescent="0.3">
      <c r="A10" s="3"/>
      <c r="B10" s="3"/>
      <c r="C10" s="89" t="s">
        <v>11</v>
      </c>
      <c r="D10" s="90"/>
      <c r="E10" s="90"/>
      <c r="F10" s="91"/>
      <c r="G10" s="3"/>
      <c r="H10" s="58" t="s">
        <v>12</v>
      </c>
      <c r="I10" s="3"/>
      <c r="J10" s="3"/>
      <c r="K10" s="3"/>
    </row>
    <row r="11" spans="1:11" ht="15.75" thickBot="1" x14ac:dyDescent="0.3">
      <c r="A11" s="18"/>
      <c r="B11" s="18"/>
      <c r="C11" s="92" t="s">
        <v>13</v>
      </c>
      <c r="D11" s="93"/>
      <c r="E11" s="93"/>
      <c r="F11" s="94"/>
      <c r="G11" s="56" t="s">
        <v>14</v>
      </c>
      <c r="H11" s="59" t="s">
        <v>15</v>
      </c>
      <c r="I11" s="60"/>
      <c r="J11" s="3"/>
      <c r="K11" s="3"/>
    </row>
    <row r="12" spans="1:11" ht="18.75" thickBot="1" x14ac:dyDescent="0.3">
      <c r="A12" s="61" t="s">
        <v>16</v>
      </c>
      <c r="B12" s="62" t="s">
        <v>17</v>
      </c>
      <c r="C12" s="61" t="s">
        <v>18</v>
      </c>
      <c r="D12" s="63" t="s">
        <v>19</v>
      </c>
      <c r="E12" s="64"/>
      <c r="F12" s="65" t="s">
        <v>20</v>
      </c>
      <c r="G12" s="66" t="s">
        <v>21</v>
      </c>
      <c r="H12" s="65" t="s">
        <v>22</v>
      </c>
      <c r="I12" s="65" t="s">
        <v>23</v>
      </c>
      <c r="J12" s="66" t="s">
        <v>24</v>
      </c>
      <c r="K12" s="65" t="s">
        <v>33</v>
      </c>
    </row>
    <row r="13" spans="1:11" ht="15.75" thickBot="1" x14ac:dyDescent="0.3">
      <c r="A13" s="19">
        <v>0</v>
      </c>
      <c r="B13" s="20">
        <v>300</v>
      </c>
      <c r="C13" s="21">
        <v>16</v>
      </c>
      <c r="D13" s="22">
        <v>15.7</v>
      </c>
      <c r="E13" s="23"/>
      <c r="F13" s="24">
        <f t="shared" ref="F13:F18" si="0">AVERAGE(C13:D13)</f>
        <v>15.85</v>
      </c>
      <c r="G13" s="25">
        <f>B5*F13*10^-3</f>
        <v>6.6570000000000008E-4</v>
      </c>
      <c r="H13" s="26">
        <f>B7+B8</f>
        <v>18.68257521365706</v>
      </c>
      <c r="I13" s="27">
        <f>(H13*G13)/(0.3)</f>
        <v>4.1456634399105026E-2</v>
      </c>
      <c r="J13" s="27"/>
      <c r="K13" s="82">
        <f>(0.00055081/B9)*1000000</f>
        <v>2755.4277138569282</v>
      </c>
    </row>
    <row r="14" spans="1:11" ht="15.75" thickBot="1" x14ac:dyDescent="0.3">
      <c r="A14" s="28">
        <v>10</v>
      </c>
      <c r="B14" s="29">
        <v>300</v>
      </c>
      <c r="C14" s="30">
        <v>16.600000000000001</v>
      </c>
      <c r="D14" s="31">
        <v>17.600000000000001</v>
      </c>
      <c r="E14" s="32"/>
      <c r="F14" s="24">
        <f t="shared" si="0"/>
        <v>17.100000000000001</v>
      </c>
      <c r="G14" s="33">
        <f>B5*F14*10^-3</f>
        <v>7.1820000000000011E-4</v>
      </c>
      <c r="H14" s="34">
        <f>H13-0.6</f>
        <v>18.082575213657059</v>
      </c>
      <c r="I14" s="27">
        <f>(H14*G14)/(0.3)</f>
        <v>4.3289685061495005E-2</v>
      </c>
      <c r="J14" s="27">
        <f>(I13-I14)</f>
        <v>-1.8330506623899789E-3</v>
      </c>
      <c r="K14" s="83"/>
    </row>
    <row r="15" spans="1:11" ht="15.75" thickBot="1" x14ac:dyDescent="0.3">
      <c r="A15" s="28">
        <v>20</v>
      </c>
      <c r="B15" s="29">
        <v>300</v>
      </c>
      <c r="C15" s="30">
        <v>15.5</v>
      </c>
      <c r="D15" s="31">
        <v>16.100000000000001</v>
      </c>
      <c r="E15" s="32"/>
      <c r="F15" s="24">
        <f t="shared" si="0"/>
        <v>15.8</v>
      </c>
      <c r="G15" s="33">
        <f>B5*F15*10^-3</f>
        <v>6.6360000000000008E-4</v>
      </c>
      <c r="H15" s="34">
        <f>H14-0.6</f>
        <v>17.482575213657057</v>
      </c>
      <c r="I15" s="26">
        <f t="shared" ref="I15:I18" si="1">(H15*G15)/(0.3)</f>
        <v>3.8671456372609415E-2</v>
      </c>
      <c r="J15" s="27">
        <f>(I13-I15)</f>
        <v>2.7851780264956105E-3</v>
      </c>
      <c r="K15" s="83"/>
    </row>
    <row r="16" spans="1:11" ht="15.75" thickBot="1" x14ac:dyDescent="0.3">
      <c r="A16" s="35">
        <v>30</v>
      </c>
      <c r="B16" s="36">
        <v>300</v>
      </c>
      <c r="C16" s="37">
        <v>14.3</v>
      </c>
      <c r="D16" s="38">
        <v>14.2</v>
      </c>
      <c r="E16" s="39"/>
      <c r="F16" s="24">
        <f t="shared" si="0"/>
        <v>14.25</v>
      </c>
      <c r="G16" s="40">
        <f>B5*F16*10^-3</f>
        <v>5.9850000000000007E-4</v>
      </c>
      <c r="H16" s="41">
        <f>H15-0.6</f>
        <v>16.882575213657056</v>
      </c>
      <c r="I16" s="26">
        <f t="shared" si="1"/>
        <v>3.3680737551245829E-2</v>
      </c>
      <c r="J16" s="27">
        <f>(I13-I16)</f>
        <v>7.7758968478591969E-3</v>
      </c>
      <c r="K16" s="83"/>
    </row>
    <row r="17" spans="1:11" ht="15.75" thickBot="1" x14ac:dyDescent="0.3">
      <c r="A17" s="42">
        <v>40</v>
      </c>
      <c r="B17" s="43">
        <v>300</v>
      </c>
      <c r="C17" s="44">
        <v>13</v>
      </c>
      <c r="D17" s="45">
        <v>12.8</v>
      </c>
      <c r="F17" s="46">
        <f t="shared" si="0"/>
        <v>12.9</v>
      </c>
      <c r="G17" s="47">
        <f>B5*F17*10^-3</f>
        <v>5.4180000000000005E-4</v>
      </c>
      <c r="H17" s="41">
        <f>H16-0.6</f>
        <v>16.282575213657054</v>
      </c>
      <c r="I17" s="26">
        <f t="shared" si="1"/>
        <v>2.9406330835864646E-2</v>
      </c>
      <c r="J17" s="27">
        <f>(I13-I17)</f>
        <v>1.205030356324038E-2</v>
      </c>
      <c r="K17" s="83"/>
    </row>
    <row r="18" spans="1:11" ht="15.75" thickBot="1" x14ac:dyDescent="0.3">
      <c r="A18" s="48">
        <v>60</v>
      </c>
      <c r="B18" s="49">
        <v>300</v>
      </c>
      <c r="C18" s="50">
        <v>9.9</v>
      </c>
      <c r="D18" s="51"/>
      <c r="E18" s="52"/>
      <c r="F18" s="53">
        <f t="shared" si="0"/>
        <v>9.9</v>
      </c>
      <c r="G18" s="54">
        <f>B5*F18*10^-3</f>
        <v>4.1580000000000008E-4</v>
      </c>
      <c r="H18" s="41">
        <f>H17-0.6</f>
        <v>15.682575213657055</v>
      </c>
      <c r="I18" s="26">
        <f t="shared" si="1"/>
        <v>2.1736049246128684E-2</v>
      </c>
      <c r="J18" s="27">
        <f>(I13-I18)</f>
        <v>1.9720585152976342E-2</v>
      </c>
      <c r="K18" s="84"/>
    </row>
    <row r="19" spans="1:11" x14ac:dyDescent="0.25">
      <c r="C19" s="72"/>
      <c r="K19" t="s">
        <v>25</v>
      </c>
    </row>
    <row r="21" spans="1:11" ht="15.75" thickBot="1" x14ac:dyDescent="0.3"/>
    <row r="22" spans="1:11" ht="15.75" thickBot="1" x14ac:dyDescent="0.3">
      <c r="A22" s="86" t="s">
        <v>28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1" ht="15.75" thickBot="1" x14ac:dyDescent="0.3">
      <c r="A23" s="1" t="s">
        <v>0</v>
      </c>
      <c r="B23" s="2">
        <v>4.2000000000000003E-2</v>
      </c>
      <c r="C23" s="3"/>
      <c r="E23" s="73" t="s">
        <v>29</v>
      </c>
      <c r="F23" s="74"/>
      <c r="G23" s="75"/>
      <c r="J23" s="4" t="s">
        <v>1</v>
      </c>
      <c r="K23" s="5">
        <v>282.45999999999998</v>
      </c>
    </row>
    <row r="24" spans="1:11" x14ac:dyDescent="0.25">
      <c r="A24" s="6" t="s">
        <v>2</v>
      </c>
      <c r="B24" s="7" t="s">
        <v>3</v>
      </c>
      <c r="C24" s="3"/>
      <c r="D24" s="8"/>
      <c r="E24" s="18"/>
      <c r="F24" s="18"/>
      <c r="J24" s="9" t="s">
        <v>4</v>
      </c>
      <c r="K24" s="10">
        <v>0.89500000000000002</v>
      </c>
    </row>
    <row r="25" spans="1:11" x14ac:dyDescent="0.25">
      <c r="A25" s="4" t="s">
        <v>5</v>
      </c>
      <c r="B25" s="11">
        <f>14.118/K24</f>
        <v>15.774301675977654</v>
      </c>
      <c r="C25" s="3"/>
      <c r="D25" s="8"/>
      <c r="E25" s="55"/>
      <c r="F25" s="55"/>
      <c r="G25" s="3"/>
      <c r="H25" s="3"/>
      <c r="I25" s="3"/>
      <c r="J25" s="12" t="s">
        <v>6</v>
      </c>
      <c r="K25" s="13">
        <v>46.06</v>
      </c>
    </row>
    <row r="26" spans="1:11" ht="15.75" thickBot="1" x14ac:dyDescent="0.3">
      <c r="A26" s="6" t="s">
        <v>7</v>
      </c>
      <c r="B26" s="7">
        <f>2.3057/K26</f>
        <v>2.9223067173637514</v>
      </c>
      <c r="C26" s="3"/>
      <c r="D26" s="8"/>
      <c r="E26" s="3"/>
      <c r="F26" s="3"/>
      <c r="G26" s="3"/>
      <c r="H26" s="3"/>
      <c r="I26" s="3"/>
      <c r="J26" s="4" t="s">
        <v>8</v>
      </c>
      <c r="K26" s="14">
        <v>0.78900000000000003</v>
      </c>
    </row>
    <row r="27" spans="1:11" ht="15.75" thickBot="1" x14ac:dyDescent="0.3">
      <c r="A27" s="15" t="s">
        <v>9</v>
      </c>
      <c r="B27" s="16">
        <v>0.20080000000000001</v>
      </c>
      <c r="C27" s="3"/>
      <c r="D27" s="3"/>
      <c r="E27" s="3"/>
      <c r="F27" s="3"/>
      <c r="G27" s="3"/>
      <c r="H27" s="3"/>
      <c r="I27" s="3"/>
      <c r="J27" s="56" t="s">
        <v>10</v>
      </c>
      <c r="K27" s="57">
        <v>1</v>
      </c>
    </row>
    <row r="28" spans="1:11" ht="15.75" thickBot="1" x14ac:dyDescent="0.3">
      <c r="A28" s="3"/>
      <c r="B28" s="3"/>
      <c r="C28" s="76" t="s">
        <v>11</v>
      </c>
      <c r="D28" s="77"/>
      <c r="E28" s="77"/>
      <c r="F28" s="78"/>
      <c r="G28" s="3"/>
      <c r="H28" s="17" t="s">
        <v>12</v>
      </c>
      <c r="I28" s="3"/>
      <c r="J28" s="3"/>
      <c r="K28" s="3"/>
    </row>
    <row r="29" spans="1:11" ht="15.75" thickBot="1" x14ac:dyDescent="0.3">
      <c r="A29" s="18"/>
      <c r="B29" s="18"/>
      <c r="C29" s="79" t="s">
        <v>26</v>
      </c>
      <c r="D29" s="80"/>
      <c r="E29" s="80"/>
      <c r="F29" s="81"/>
      <c r="G29" s="56" t="s">
        <v>14</v>
      </c>
      <c r="H29" s="59" t="s">
        <v>15</v>
      </c>
      <c r="I29" s="60" t="s">
        <v>25</v>
      </c>
      <c r="J29" s="3"/>
      <c r="K29" s="3"/>
    </row>
    <row r="30" spans="1:11" ht="18.75" thickBot="1" x14ac:dyDescent="0.3">
      <c r="A30" s="61" t="s">
        <v>16</v>
      </c>
      <c r="B30" s="62" t="s">
        <v>17</v>
      </c>
      <c r="C30" s="61" t="s">
        <v>18</v>
      </c>
      <c r="D30" s="63" t="s">
        <v>19</v>
      </c>
      <c r="E30" s="64"/>
      <c r="F30" s="65" t="s">
        <v>20</v>
      </c>
      <c r="G30" s="66" t="s">
        <v>21</v>
      </c>
      <c r="H30" s="65" t="s">
        <v>22</v>
      </c>
      <c r="I30" s="65" t="s">
        <v>23</v>
      </c>
      <c r="J30" s="66" t="s">
        <v>24</v>
      </c>
      <c r="K30" s="68" t="s">
        <v>33</v>
      </c>
    </row>
    <row r="31" spans="1:11" ht="15.75" thickBot="1" x14ac:dyDescent="0.3">
      <c r="A31" s="19">
        <v>0</v>
      </c>
      <c r="B31" s="20">
        <v>300</v>
      </c>
      <c r="C31" s="21">
        <v>16.399999999999999</v>
      </c>
      <c r="D31" s="22">
        <v>16.100000000000001</v>
      </c>
      <c r="E31" s="23"/>
      <c r="F31" s="24">
        <f t="shared" ref="F31:F36" si="2">AVERAGE(C31:D31)</f>
        <v>16.25</v>
      </c>
      <c r="G31" s="25">
        <f>B23*F31*10^-3</f>
        <v>6.8250000000000006E-4</v>
      </c>
      <c r="H31" s="26">
        <f>B25+B26</f>
        <v>18.696608393341407</v>
      </c>
      <c r="I31" s="26">
        <f t="shared" ref="I31:I36" si="3">(H31*G31)/(0.3)</f>
        <v>4.2534784094851709E-2</v>
      </c>
      <c r="J31" s="67"/>
      <c r="K31" s="82">
        <f>(0.00048451/B27)*1000000</f>
        <v>2412.898406374502</v>
      </c>
    </row>
    <row r="32" spans="1:11" ht="15.75" thickBot="1" x14ac:dyDescent="0.3">
      <c r="A32" s="28">
        <v>10</v>
      </c>
      <c r="B32" s="29">
        <v>300</v>
      </c>
      <c r="C32" s="30">
        <v>16.899999999999999</v>
      </c>
      <c r="D32" s="31">
        <v>16.3</v>
      </c>
      <c r="E32" s="32"/>
      <c r="F32" s="24">
        <f t="shared" si="2"/>
        <v>16.600000000000001</v>
      </c>
      <c r="G32" s="33">
        <f>B23*F32*10^-3</f>
        <v>6.9720000000000014E-4</v>
      </c>
      <c r="H32" s="34">
        <f>H31-0.6</f>
        <v>18.096608393341405</v>
      </c>
      <c r="I32" s="26">
        <f t="shared" si="3"/>
        <v>4.205651790612544E-2</v>
      </c>
      <c r="J32" s="67">
        <f>(I31-I32)</f>
        <v>4.7826618872626875E-4</v>
      </c>
      <c r="K32" s="83"/>
    </row>
    <row r="33" spans="1:11" ht="15.75" thickBot="1" x14ac:dyDescent="0.3">
      <c r="A33" s="28">
        <v>20</v>
      </c>
      <c r="B33" s="29">
        <v>300</v>
      </c>
      <c r="C33" s="30">
        <v>15.6</v>
      </c>
      <c r="D33" s="31">
        <v>15.2</v>
      </c>
      <c r="E33" s="32"/>
      <c r="F33" s="24">
        <f t="shared" si="2"/>
        <v>15.399999999999999</v>
      </c>
      <c r="G33" s="33">
        <f>B23*F33*10^-3</f>
        <v>6.4679999999999989E-4</v>
      </c>
      <c r="H33" s="34">
        <f>H32-0.6</f>
        <v>17.496608393341404</v>
      </c>
      <c r="I33" s="26">
        <f t="shared" si="3"/>
        <v>3.772268769604406E-2</v>
      </c>
      <c r="J33" s="67">
        <f>(I31-I33)</f>
        <v>4.8120963988076484E-3</v>
      </c>
      <c r="K33" s="83"/>
    </row>
    <row r="34" spans="1:11" ht="15.75" thickBot="1" x14ac:dyDescent="0.3">
      <c r="A34" s="35">
        <v>30</v>
      </c>
      <c r="B34" s="36">
        <v>300</v>
      </c>
      <c r="C34" s="37">
        <v>13.9</v>
      </c>
      <c r="D34" s="38">
        <v>14.3</v>
      </c>
      <c r="E34" s="39"/>
      <c r="F34" s="24">
        <f t="shared" si="2"/>
        <v>14.100000000000001</v>
      </c>
      <c r="G34" s="40">
        <f>B23*F34*10^-3</f>
        <v>5.9220000000000008E-4</v>
      </c>
      <c r="H34" s="41">
        <f>H33-0.6</f>
        <v>16.896608393341403</v>
      </c>
      <c r="I34" s="26">
        <f t="shared" si="3"/>
        <v>3.3353904968455937E-2</v>
      </c>
      <c r="J34" s="67">
        <f>(I31-I34)</f>
        <v>9.1808791263957717E-3</v>
      </c>
      <c r="K34" s="83"/>
    </row>
    <row r="35" spans="1:11" ht="15.75" thickBot="1" x14ac:dyDescent="0.3">
      <c r="A35" s="42">
        <v>40</v>
      </c>
      <c r="B35" s="43">
        <v>300</v>
      </c>
      <c r="C35" s="44">
        <v>12.2</v>
      </c>
      <c r="D35" s="45">
        <v>12.8</v>
      </c>
      <c r="F35" s="46">
        <f t="shared" si="2"/>
        <v>12.5</v>
      </c>
      <c r="G35" s="47">
        <f>B23*F35*10^-3</f>
        <v>5.2500000000000008E-4</v>
      </c>
      <c r="H35" s="41">
        <f>H34-0.6</f>
        <v>16.296608393341401</v>
      </c>
      <c r="I35" s="26">
        <f t="shared" si="3"/>
        <v>2.8519064688347456E-2</v>
      </c>
      <c r="J35" s="67">
        <f>(I31-I35)</f>
        <v>1.4015719406504253E-2</v>
      </c>
      <c r="K35" s="83"/>
    </row>
    <row r="36" spans="1:11" ht="15.75" thickBot="1" x14ac:dyDescent="0.3">
      <c r="A36" s="48">
        <v>60</v>
      </c>
      <c r="B36" s="49">
        <v>300</v>
      </c>
      <c r="C36" s="50">
        <v>10.6</v>
      </c>
      <c r="D36" s="51">
        <v>10.5</v>
      </c>
      <c r="E36" s="52"/>
      <c r="F36" s="53">
        <f t="shared" si="2"/>
        <v>10.55</v>
      </c>
      <c r="G36" s="54">
        <f>B23*F36*10^-3</f>
        <v>4.4310000000000004E-4</v>
      </c>
      <c r="H36" s="41">
        <f>H35-0.6</f>
        <v>15.696608393341402</v>
      </c>
      <c r="I36" s="26">
        <f t="shared" si="3"/>
        <v>2.3183890596965254E-2</v>
      </c>
      <c r="J36" s="67">
        <f>(I31-I36)</f>
        <v>1.9350893497886455E-2</v>
      </c>
      <c r="K36" s="84"/>
    </row>
  </sheetData>
  <mergeCells count="11">
    <mergeCell ref="E23:G23"/>
    <mergeCell ref="C28:F28"/>
    <mergeCell ref="C29:F29"/>
    <mergeCell ref="K31:K36"/>
    <mergeCell ref="B1:G1"/>
    <mergeCell ref="A4:K4"/>
    <mergeCell ref="E5:G5"/>
    <mergeCell ref="C10:F10"/>
    <mergeCell ref="C11:F11"/>
    <mergeCell ref="K13:K18"/>
    <mergeCell ref="A22:K2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C951C-CBA0-4678-AC21-96FCA5CD5065}">
  <dimension ref="A1:K36"/>
  <sheetViews>
    <sheetView tabSelected="1" topLeftCell="I1" zoomScale="55" zoomScaleNormal="55" workbookViewId="0">
      <selection activeCell="AK26" sqref="AK26"/>
    </sheetView>
  </sheetViews>
  <sheetFormatPr defaultRowHeight="15" x14ac:dyDescent="0.25"/>
  <cols>
    <col min="1" max="1" width="14.42578125" bestFit="1" customWidth="1"/>
    <col min="2" max="2" width="12.42578125" bestFit="1" customWidth="1"/>
    <col min="3" max="4" width="9.85546875" bestFit="1" customWidth="1"/>
    <col min="6" max="6" width="11.140625" bestFit="1" customWidth="1"/>
    <col min="7" max="7" width="34.28515625" bestFit="1" customWidth="1"/>
    <col min="8" max="8" width="24.140625" bestFit="1" customWidth="1"/>
    <col min="9" max="9" width="39.7109375" bestFit="1" customWidth="1"/>
    <col min="10" max="10" width="20.42578125" bestFit="1" customWidth="1"/>
    <col min="11" max="11" width="16.140625" bestFit="1" customWidth="1"/>
  </cols>
  <sheetData>
    <row r="1" spans="1:11" ht="18" x14ac:dyDescent="0.25">
      <c r="B1" s="85" t="s">
        <v>35</v>
      </c>
      <c r="C1" s="85"/>
      <c r="D1" s="85"/>
      <c r="E1" s="85"/>
      <c r="F1" s="85"/>
      <c r="G1" s="85"/>
      <c r="H1" s="69" t="s">
        <v>31</v>
      </c>
      <c r="I1" s="69" t="s">
        <v>30</v>
      </c>
      <c r="J1" s="70">
        <f>AVERAGE(K31,K13)</f>
        <v>2096.9536586307149</v>
      </c>
      <c r="K1" s="71" t="s">
        <v>32</v>
      </c>
    </row>
    <row r="3" spans="1:11" ht="15.75" thickBot="1" x14ac:dyDescent="0.3"/>
    <row r="4" spans="1:11" ht="15.75" thickBot="1" x14ac:dyDescent="0.3">
      <c r="A4" s="86" t="s">
        <v>27</v>
      </c>
      <c r="B4" s="87"/>
      <c r="C4" s="87"/>
      <c r="D4" s="87"/>
      <c r="E4" s="87"/>
      <c r="F4" s="87"/>
      <c r="G4" s="87"/>
      <c r="H4" s="87"/>
      <c r="I4" s="87"/>
      <c r="J4" s="87"/>
      <c r="K4" s="88"/>
    </row>
    <row r="5" spans="1:11" ht="15.75" thickBot="1" x14ac:dyDescent="0.3">
      <c r="A5" s="1" t="s">
        <v>0</v>
      </c>
      <c r="B5" s="2">
        <v>4.8000000000000001E-2</v>
      </c>
      <c r="C5" s="3"/>
      <c r="E5" s="73" t="s">
        <v>29</v>
      </c>
      <c r="F5" s="74"/>
      <c r="G5" s="75"/>
      <c r="J5" s="4" t="s">
        <v>1</v>
      </c>
      <c r="K5" s="5">
        <v>282.45999999999998</v>
      </c>
    </row>
    <row r="6" spans="1:11" x14ac:dyDescent="0.25">
      <c r="A6" s="6" t="s">
        <v>2</v>
      </c>
      <c r="B6" s="7" t="s">
        <v>3</v>
      </c>
      <c r="C6" s="3"/>
      <c r="D6" s="8"/>
      <c r="E6" s="18"/>
      <c r="F6" s="18"/>
      <c r="J6" s="9" t="s">
        <v>4</v>
      </c>
      <c r="K6" s="10">
        <v>0.89500000000000002</v>
      </c>
    </row>
    <row r="7" spans="1:11" x14ac:dyDescent="0.25">
      <c r="A7" s="4" t="s">
        <v>5</v>
      </c>
      <c r="B7" s="11">
        <f>14.1104/K6</f>
        <v>15.765810055865922</v>
      </c>
      <c r="C7" s="3"/>
      <c r="D7" s="8"/>
      <c r="E7" s="55"/>
      <c r="F7" s="55"/>
      <c r="G7" s="3"/>
      <c r="H7" s="3"/>
      <c r="I7" s="3"/>
      <c r="J7" s="12" t="s">
        <v>6</v>
      </c>
      <c r="K7" s="13">
        <v>46.06</v>
      </c>
    </row>
    <row r="8" spans="1:11" ht="15.75" thickBot="1" x14ac:dyDescent="0.3">
      <c r="A8" s="6" t="s">
        <v>7</v>
      </c>
      <c r="B8" s="7">
        <f>2.3018/K8</f>
        <v>2.9173637515842841</v>
      </c>
      <c r="C8" s="3"/>
      <c r="D8" s="8"/>
      <c r="E8" s="3"/>
      <c r="F8" s="3"/>
      <c r="G8" s="3"/>
      <c r="H8" s="3"/>
      <c r="I8" s="3"/>
      <c r="J8" s="4" t="s">
        <v>8</v>
      </c>
      <c r="K8" s="14">
        <v>0.78900000000000003</v>
      </c>
    </row>
    <row r="9" spans="1:11" ht="15.75" thickBot="1" x14ac:dyDescent="0.3">
      <c r="A9" s="15" t="s">
        <v>9</v>
      </c>
      <c r="B9" s="16">
        <v>0.20030000000000001</v>
      </c>
      <c r="C9" s="3"/>
      <c r="D9" s="3"/>
      <c r="E9" s="3"/>
      <c r="F9" s="3"/>
      <c r="G9" s="3"/>
      <c r="H9" s="3"/>
      <c r="I9" s="3"/>
      <c r="J9" s="56" t="s">
        <v>10</v>
      </c>
      <c r="K9" s="57">
        <v>1</v>
      </c>
    </row>
    <row r="10" spans="1:11" ht="15.75" thickBot="1" x14ac:dyDescent="0.3">
      <c r="A10" s="3"/>
      <c r="B10" s="3"/>
      <c r="C10" s="89" t="s">
        <v>11</v>
      </c>
      <c r="D10" s="90"/>
      <c r="E10" s="90"/>
      <c r="F10" s="91"/>
      <c r="G10" s="3"/>
      <c r="H10" s="58" t="s">
        <v>12</v>
      </c>
      <c r="I10" s="3"/>
      <c r="J10" s="3"/>
      <c r="K10" s="3"/>
    </row>
    <row r="11" spans="1:11" ht="15.75" thickBot="1" x14ac:dyDescent="0.3">
      <c r="A11" s="18"/>
      <c r="B11" s="18"/>
      <c r="C11" s="92" t="s">
        <v>13</v>
      </c>
      <c r="D11" s="93"/>
      <c r="E11" s="93"/>
      <c r="F11" s="94"/>
      <c r="G11" s="56" t="s">
        <v>14</v>
      </c>
      <c r="H11" s="59" t="s">
        <v>15</v>
      </c>
      <c r="I11" s="60"/>
      <c r="J11" s="3"/>
      <c r="K11" s="3"/>
    </row>
    <row r="12" spans="1:11" ht="18.75" thickBot="1" x14ac:dyDescent="0.3">
      <c r="A12" s="61" t="s">
        <v>16</v>
      </c>
      <c r="B12" s="62" t="s">
        <v>17</v>
      </c>
      <c r="C12" s="61" t="s">
        <v>18</v>
      </c>
      <c r="D12" s="63" t="s">
        <v>19</v>
      </c>
      <c r="E12" s="64"/>
      <c r="F12" s="65" t="s">
        <v>20</v>
      </c>
      <c r="G12" s="66" t="s">
        <v>21</v>
      </c>
      <c r="H12" s="65" t="s">
        <v>22</v>
      </c>
      <c r="I12" s="65" t="s">
        <v>23</v>
      </c>
      <c r="J12" s="66" t="s">
        <v>24</v>
      </c>
      <c r="K12" s="65" t="s">
        <v>33</v>
      </c>
    </row>
    <row r="13" spans="1:11" ht="15.75" thickBot="1" x14ac:dyDescent="0.3">
      <c r="A13" s="19">
        <v>0</v>
      </c>
      <c r="B13" s="20">
        <v>300</v>
      </c>
      <c r="C13" s="21">
        <v>16.25</v>
      </c>
      <c r="D13" s="22">
        <v>16.5</v>
      </c>
      <c r="E13" s="23"/>
      <c r="F13" s="24">
        <f t="shared" ref="F13:F18" si="0">AVERAGE(C13:D13)</f>
        <v>16.375</v>
      </c>
      <c r="G13" s="25">
        <f>B5*F13*10^-3</f>
        <v>7.8600000000000002E-4</v>
      </c>
      <c r="H13" s="26">
        <f>B7+B8</f>
        <v>18.683173807450206</v>
      </c>
      <c r="I13" s="27">
        <f>(H13*G13)/(0.3)</f>
        <v>4.8949915375519543E-2</v>
      </c>
      <c r="J13" s="27"/>
      <c r="K13" s="82">
        <f>(0.000422245/B9)*1000000</f>
        <v>2108.0629056415378</v>
      </c>
    </row>
    <row r="14" spans="1:11" ht="15.75" thickBot="1" x14ac:dyDescent="0.3">
      <c r="A14" s="28">
        <v>10</v>
      </c>
      <c r="B14" s="29">
        <v>300</v>
      </c>
      <c r="C14" s="30">
        <v>16</v>
      </c>
      <c r="D14" s="31">
        <v>15.9</v>
      </c>
      <c r="E14" s="32"/>
      <c r="F14" s="24">
        <f t="shared" si="0"/>
        <v>15.95</v>
      </c>
      <c r="G14" s="33">
        <f>B5*F14*10^-3</f>
        <v>7.6559999999999996E-4</v>
      </c>
      <c r="H14" s="34">
        <f>H13-0.6</f>
        <v>18.083173807450205</v>
      </c>
      <c r="I14" s="27">
        <f>(H14*G14)/(0.3)</f>
        <v>4.6148259556612919E-2</v>
      </c>
      <c r="J14" s="27">
        <f>(I13-I14)</f>
        <v>2.8016558189066232E-3</v>
      </c>
      <c r="K14" s="83"/>
    </row>
    <row r="15" spans="1:11" ht="15.75" thickBot="1" x14ac:dyDescent="0.3">
      <c r="A15" s="28">
        <v>20</v>
      </c>
      <c r="B15" s="29">
        <v>300</v>
      </c>
      <c r="C15" s="30">
        <v>15.2</v>
      </c>
      <c r="D15" s="31">
        <v>15.3</v>
      </c>
      <c r="E15" s="32"/>
      <c r="F15" s="24">
        <f t="shared" si="0"/>
        <v>15.25</v>
      </c>
      <c r="G15" s="33">
        <f>B5*F15*10^-3</f>
        <v>7.3200000000000001E-4</v>
      </c>
      <c r="H15" s="34">
        <f>H14-0.6</f>
        <v>17.483173807450203</v>
      </c>
      <c r="I15" s="26">
        <f t="shared" ref="I15:I18" si="1">(H15*G15)/(0.3)</f>
        <v>4.2658944090178494E-2</v>
      </c>
      <c r="J15" s="27">
        <f>(I13-I15)</f>
        <v>6.2909712853410488E-3</v>
      </c>
      <c r="K15" s="83"/>
    </row>
    <row r="16" spans="1:11" ht="15.75" thickBot="1" x14ac:dyDescent="0.3">
      <c r="A16" s="35">
        <v>30</v>
      </c>
      <c r="B16" s="36">
        <v>300</v>
      </c>
      <c r="C16" s="37">
        <v>14.1</v>
      </c>
      <c r="D16" s="38">
        <v>14.15</v>
      </c>
      <c r="E16" s="39"/>
      <c r="F16" s="24">
        <f t="shared" si="0"/>
        <v>14.125</v>
      </c>
      <c r="G16" s="40">
        <f>B5*F16*10^-3</f>
        <v>6.7800000000000011E-4</v>
      </c>
      <c r="H16" s="41">
        <f>H15-0.6</f>
        <v>16.883173807450202</v>
      </c>
      <c r="I16" s="26">
        <f t="shared" si="1"/>
        <v>3.8155972804837464E-2</v>
      </c>
      <c r="J16" s="27">
        <f>(I13-I16)</f>
        <v>1.0793942570682079E-2</v>
      </c>
      <c r="K16" s="83"/>
    </row>
    <row r="17" spans="1:11" ht="15.75" thickBot="1" x14ac:dyDescent="0.3">
      <c r="A17" s="42">
        <v>40</v>
      </c>
      <c r="B17" s="43">
        <v>300</v>
      </c>
      <c r="C17" s="44">
        <v>12.6</v>
      </c>
      <c r="D17" s="45">
        <v>12.7</v>
      </c>
      <c r="F17" s="46">
        <f t="shared" si="0"/>
        <v>12.649999999999999</v>
      </c>
      <c r="G17" s="47">
        <f>B5*F17*10^-3</f>
        <v>6.0720000000000001E-4</v>
      </c>
      <c r="H17" s="41">
        <f>H16-0.6</f>
        <v>16.283173807450201</v>
      </c>
      <c r="I17" s="26">
        <f t="shared" si="1"/>
        <v>3.295714378627921E-2</v>
      </c>
      <c r="J17" s="27">
        <f>(I13-I17)</f>
        <v>1.5992771589240333E-2</v>
      </c>
      <c r="K17" s="83"/>
    </row>
    <row r="18" spans="1:11" ht="15.75" thickBot="1" x14ac:dyDescent="0.3">
      <c r="A18" s="48">
        <v>60</v>
      </c>
      <c r="B18" s="49">
        <v>300</v>
      </c>
      <c r="C18" s="50">
        <v>10.199999999999999</v>
      </c>
      <c r="D18" s="51">
        <v>10.15</v>
      </c>
      <c r="E18" s="52"/>
      <c r="F18" s="53">
        <f t="shared" si="0"/>
        <v>10.175000000000001</v>
      </c>
      <c r="G18" s="54">
        <f>B5*F18*10^-3</f>
        <v>4.8840000000000005E-4</v>
      </c>
      <c r="H18" s="41">
        <f>H17-0.6</f>
        <v>15.683173807450201</v>
      </c>
      <c r="I18" s="26">
        <f t="shared" si="1"/>
        <v>2.5532206958528932E-2</v>
      </c>
      <c r="J18" s="27">
        <f>(I13-I18)</f>
        <v>2.3417708416990611E-2</v>
      </c>
      <c r="K18" s="84"/>
    </row>
    <row r="19" spans="1:11" x14ac:dyDescent="0.25">
      <c r="C19" s="72"/>
      <c r="K19" t="s">
        <v>25</v>
      </c>
    </row>
    <row r="21" spans="1:11" ht="15.75" thickBot="1" x14ac:dyDescent="0.3"/>
    <row r="22" spans="1:11" ht="15.75" thickBot="1" x14ac:dyDescent="0.3">
      <c r="A22" s="86" t="s">
        <v>28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1" ht="15.75" thickBot="1" x14ac:dyDescent="0.3">
      <c r="A23" s="1" t="s">
        <v>0</v>
      </c>
      <c r="B23" s="2">
        <v>4.8000000000000001E-2</v>
      </c>
      <c r="C23" s="3"/>
      <c r="E23" s="73" t="s">
        <v>29</v>
      </c>
      <c r="F23" s="74"/>
      <c r="G23" s="75"/>
      <c r="J23" s="4" t="s">
        <v>1</v>
      </c>
      <c r="K23" s="5">
        <v>282.45999999999998</v>
      </c>
    </row>
    <row r="24" spans="1:11" x14ac:dyDescent="0.25">
      <c r="A24" s="6" t="s">
        <v>2</v>
      </c>
      <c r="B24" s="7" t="s">
        <v>3</v>
      </c>
      <c r="C24" s="3"/>
      <c r="D24" s="8"/>
      <c r="E24" s="18"/>
      <c r="F24" s="18"/>
      <c r="J24" s="9" t="s">
        <v>4</v>
      </c>
      <c r="K24" s="10">
        <v>0.89500000000000002</v>
      </c>
    </row>
    <row r="25" spans="1:11" x14ac:dyDescent="0.25">
      <c r="A25" s="4" t="s">
        <v>5</v>
      </c>
      <c r="B25" s="11">
        <f>14.113/K24</f>
        <v>15.768715083798881</v>
      </c>
      <c r="C25" s="3"/>
      <c r="D25" s="8"/>
      <c r="E25" s="55"/>
      <c r="F25" s="55"/>
      <c r="G25" s="3"/>
      <c r="H25" s="3"/>
      <c r="I25" s="3"/>
      <c r="J25" s="12" t="s">
        <v>6</v>
      </c>
      <c r="K25" s="13">
        <v>46.06</v>
      </c>
    </row>
    <row r="26" spans="1:11" ht="15.75" thickBot="1" x14ac:dyDescent="0.3">
      <c r="A26" s="6" t="s">
        <v>7</v>
      </c>
      <c r="B26" s="7">
        <f>2.3077/K26</f>
        <v>2.9248415716096323</v>
      </c>
      <c r="C26" s="3"/>
      <c r="D26" s="8"/>
      <c r="E26" s="3"/>
      <c r="F26" s="3"/>
      <c r="G26" s="3"/>
      <c r="H26" s="3"/>
      <c r="I26" s="3"/>
      <c r="J26" s="4" t="s">
        <v>8</v>
      </c>
      <c r="K26" s="14">
        <v>0.78900000000000003</v>
      </c>
    </row>
    <row r="27" spans="1:11" ht="15.75" thickBot="1" x14ac:dyDescent="0.3">
      <c r="A27" s="15" t="s">
        <v>9</v>
      </c>
      <c r="B27" s="16">
        <v>0.2031</v>
      </c>
      <c r="C27" s="3"/>
      <c r="D27" s="3"/>
      <c r="E27" s="3"/>
      <c r="F27" s="3"/>
      <c r="G27" s="3"/>
      <c r="H27" s="3"/>
      <c r="I27" s="3"/>
      <c r="J27" s="56" t="s">
        <v>10</v>
      </c>
      <c r="K27" s="57">
        <v>1</v>
      </c>
    </row>
    <row r="28" spans="1:11" ht="15.75" thickBot="1" x14ac:dyDescent="0.3">
      <c r="A28" s="3"/>
      <c r="B28" s="3"/>
      <c r="C28" s="76" t="s">
        <v>11</v>
      </c>
      <c r="D28" s="77"/>
      <c r="E28" s="77"/>
      <c r="F28" s="78"/>
      <c r="G28" s="3"/>
      <c r="H28" s="17" t="s">
        <v>12</v>
      </c>
      <c r="I28" s="3"/>
      <c r="J28" s="3"/>
      <c r="K28" s="3"/>
    </row>
    <row r="29" spans="1:11" ht="15.75" thickBot="1" x14ac:dyDescent="0.3">
      <c r="A29" s="18"/>
      <c r="B29" s="18"/>
      <c r="C29" s="79" t="s">
        <v>26</v>
      </c>
      <c r="D29" s="80"/>
      <c r="E29" s="80"/>
      <c r="F29" s="81"/>
      <c r="G29" s="56" t="s">
        <v>14</v>
      </c>
      <c r="H29" s="59" t="s">
        <v>15</v>
      </c>
      <c r="I29" s="60" t="s">
        <v>25</v>
      </c>
      <c r="J29" s="3"/>
      <c r="K29" s="3"/>
    </row>
    <row r="30" spans="1:11" ht="18.75" thickBot="1" x14ac:dyDescent="0.3">
      <c r="A30" s="61" t="s">
        <v>16</v>
      </c>
      <c r="B30" s="62" t="s">
        <v>17</v>
      </c>
      <c r="C30" s="61" t="s">
        <v>18</v>
      </c>
      <c r="D30" s="63" t="s">
        <v>19</v>
      </c>
      <c r="E30" s="64"/>
      <c r="F30" s="65" t="s">
        <v>20</v>
      </c>
      <c r="G30" s="66" t="s">
        <v>21</v>
      </c>
      <c r="H30" s="65" t="s">
        <v>22</v>
      </c>
      <c r="I30" s="65" t="s">
        <v>23</v>
      </c>
      <c r="J30" s="66" t="s">
        <v>24</v>
      </c>
      <c r="K30" s="68" t="s">
        <v>33</v>
      </c>
    </row>
    <row r="31" spans="1:11" ht="15.75" thickBot="1" x14ac:dyDescent="0.3">
      <c r="A31" s="19">
        <v>0</v>
      </c>
      <c r="B31" s="20">
        <v>300</v>
      </c>
      <c r="C31" s="21">
        <v>16.5</v>
      </c>
      <c r="D31" s="22">
        <v>17.2</v>
      </c>
      <c r="E31" s="23"/>
      <c r="F31" s="24">
        <f t="shared" ref="F31:F36" si="2">AVERAGE(C31:D31)</f>
        <v>16.850000000000001</v>
      </c>
      <c r="G31" s="25">
        <f>B23*F31*10^-3</f>
        <v>8.0880000000000014E-4</v>
      </c>
      <c r="H31" s="26">
        <f>B25+B26</f>
        <v>18.693556655408514</v>
      </c>
      <c r="I31" s="26">
        <f t="shared" ref="I31:I36" si="3">(H31*G31)/(0.3)</f>
        <v>5.0397828742981363E-2</v>
      </c>
      <c r="J31" s="67"/>
      <c r="K31" s="82">
        <f>(0.000423635/B27)*1000000</f>
        <v>2085.8444116198916</v>
      </c>
    </row>
    <row r="32" spans="1:11" ht="15.75" thickBot="1" x14ac:dyDescent="0.3">
      <c r="A32" s="28">
        <v>10</v>
      </c>
      <c r="B32" s="29">
        <v>300</v>
      </c>
      <c r="C32" s="30">
        <v>16.2</v>
      </c>
      <c r="D32" s="31">
        <v>16</v>
      </c>
      <c r="E32" s="32"/>
      <c r="F32" s="24">
        <f t="shared" si="2"/>
        <v>16.100000000000001</v>
      </c>
      <c r="G32" s="33">
        <f>B23*F32*10^-3</f>
        <v>7.7280000000000003E-4</v>
      </c>
      <c r="H32" s="34">
        <f>H31-0.6</f>
        <v>18.093556655408513</v>
      </c>
      <c r="I32" s="26">
        <f t="shared" si="3"/>
        <v>4.6609001944332332E-2</v>
      </c>
      <c r="J32" s="67">
        <f>(I31-I32)</f>
        <v>3.7888267986490309E-3</v>
      </c>
      <c r="K32" s="83"/>
    </row>
    <row r="33" spans="1:11" ht="15.75" thickBot="1" x14ac:dyDescent="0.3">
      <c r="A33" s="28">
        <v>20</v>
      </c>
      <c r="B33" s="29">
        <v>300</v>
      </c>
      <c r="C33" s="30">
        <v>15.5</v>
      </c>
      <c r="D33" s="31">
        <v>15.3</v>
      </c>
      <c r="E33" s="32"/>
      <c r="F33" s="24">
        <f t="shared" si="2"/>
        <v>15.4</v>
      </c>
      <c r="G33" s="33">
        <f>B23*F33*10^-3</f>
        <v>7.3920000000000008E-4</v>
      </c>
      <c r="H33" s="34">
        <f>H32-0.6</f>
        <v>17.493556655408511</v>
      </c>
      <c r="I33" s="26">
        <f t="shared" si="3"/>
        <v>4.3104123598926576E-2</v>
      </c>
      <c r="J33" s="67">
        <f>(I31-I33)</f>
        <v>7.2937051440547865E-3</v>
      </c>
      <c r="K33" s="83"/>
    </row>
    <row r="34" spans="1:11" ht="15.75" thickBot="1" x14ac:dyDescent="0.3">
      <c r="A34" s="35">
        <v>30</v>
      </c>
      <c r="B34" s="36">
        <v>300</v>
      </c>
      <c r="C34" s="37">
        <v>14.05</v>
      </c>
      <c r="D34" s="38">
        <v>14.1</v>
      </c>
      <c r="E34" s="39"/>
      <c r="F34" s="24">
        <f t="shared" si="2"/>
        <v>14.074999999999999</v>
      </c>
      <c r="G34" s="40">
        <f>B23*F34*10^-3</f>
        <v>6.7559999999999994E-4</v>
      </c>
      <c r="H34" s="41">
        <f>H33-0.6</f>
        <v>16.89355665540851</v>
      </c>
      <c r="I34" s="26">
        <f t="shared" si="3"/>
        <v>3.8044289587979965E-2</v>
      </c>
      <c r="J34" s="67">
        <f>(I31-I34)</f>
        <v>1.2353539155001397E-2</v>
      </c>
      <c r="K34" s="83"/>
    </row>
    <row r="35" spans="1:11" ht="15.75" thickBot="1" x14ac:dyDescent="0.3">
      <c r="A35" s="42">
        <v>40</v>
      </c>
      <c r="B35" s="43">
        <v>300</v>
      </c>
      <c r="C35" s="44">
        <v>12.35</v>
      </c>
      <c r="D35" s="45">
        <v>12.3</v>
      </c>
      <c r="F35" s="46">
        <f t="shared" si="2"/>
        <v>12.324999999999999</v>
      </c>
      <c r="G35" s="47">
        <f>B23*F35*10^-3</f>
        <v>5.9160000000000007E-4</v>
      </c>
      <c r="H35" s="41">
        <f>H34-0.6</f>
        <v>16.293556655408509</v>
      </c>
      <c r="I35" s="26">
        <f t="shared" si="3"/>
        <v>3.2130893724465578E-2</v>
      </c>
      <c r="J35" s="67">
        <f>(I31-I35)</f>
        <v>1.8266935018515784E-2</v>
      </c>
      <c r="K35" s="83"/>
    </row>
    <row r="36" spans="1:11" ht="15.75" thickBot="1" x14ac:dyDescent="0.3">
      <c r="A36" s="48">
        <v>60</v>
      </c>
      <c r="B36" s="49">
        <v>300</v>
      </c>
      <c r="C36" s="50">
        <v>10.5</v>
      </c>
      <c r="D36" s="51">
        <v>10.4</v>
      </c>
      <c r="E36" s="52"/>
      <c r="F36" s="53">
        <f t="shared" si="2"/>
        <v>10.45</v>
      </c>
      <c r="G36" s="54">
        <f>B23*F36*10^-3</f>
        <v>5.0159999999999994E-4</v>
      </c>
      <c r="H36" s="41">
        <f>H35-0.6</f>
        <v>15.693556655408509</v>
      </c>
      <c r="I36" s="26">
        <f t="shared" si="3"/>
        <v>2.6239626727843024E-2</v>
      </c>
      <c r="J36" s="67">
        <f>(I31-I36)</f>
        <v>2.4158202015138339E-2</v>
      </c>
      <c r="K36" s="84"/>
    </row>
  </sheetData>
  <mergeCells count="11">
    <mergeCell ref="A22:K22"/>
    <mergeCell ref="E23:G23"/>
    <mergeCell ref="C28:F28"/>
    <mergeCell ref="C29:F29"/>
    <mergeCell ref="K31:K36"/>
    <mergeCell ref="K13:K18"/>
    <mergeCell ref="B1:G1"/>
    <mergeCell ref="A4:K4"/>
    <mergeCell ref="E5:G5"/>
    <mergeCell ref="C10:F10"/>
    <mergeCell ref="C11:F11"/>
  </mergeCells>
  <pageMargins left="0.7" right="0.7" top="0.75" bottom="0.75" header="0.3" footer="0.3"/>
  <ignoredErrors>
    <ignoredError sqref="F13:F18 F31:F36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EBA66-6F53-4C38-A921-265BBB5F1E8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Atv de Estrf. Lipura 09_2024 </vt:lpstr>
      <vt:lpstr>Atv. Estrf. Lipura 03_2025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Francisco</dc:creator>
  <cp:lastModifiedBy>João Francisco Cabral do Nascimento</cp:lastModifiedBy>
  <dcterms:created xsi:type="dcterms:W3CDTF">2022-04-26T11:58:15Z</dcterms:created>
  <dcterms:modified xsi:type="dcterms:W3CDTF">2025-05-29T17:35:08Z</dcterms:modified>
</cp:coreProperties>
</file>