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gos\OneDrive\Documentos\UNESP\Doutorado\Tese\Banco de dados\Tabelas de referência\"/>
    </mc:Choice>
  </mc:AlternateContent>
  <xr:revisionPtr revIDLastSave="0" documentId="13_ncr:1_{25AC1974-BC02-470C-BC7C-09573255408D}" xr6:coauthVersionLast="47" xr6:coauthVersionMax="47" xr10:uidLastSave="{00000000-0000-0000-0000-000000000000}"/>
  <bookViews>
    <workbookView xWindow="-108" yWindow="-108" windowWidth="23256" windowHeight="12456" firstSheet="37" activeTab="39" xr2:uid="{C6FEEE02-6BA1-4C03-9A57-8A6E3E52E77D}"/>
  </bookViews>
  <sheets>
    <sheet name="Aracruz-ES" sheetId="41" r:id="rId1"/>
    <sheet name="Atibaia-SP" sheetId="40" r:id="rId2"/>
    <sheet name="Bagé-RS" sheetId="12" r:id="rId3"/>
    <sheet name="Bauru-SP" sheetId="13" r:id="rId4"/>
    <sheet name="Belém-PA" sheetId="30" r:id="rId5"/>
    <sheet name="Belo Horizonte-MG" sheetId="9" r:id="rId6"/>
    <sheet name="Biguaçu-SC" sheetId="25" r:id="rId7"/>
    <sheet name="Blumenau-SC" sheetId="48" r:id="rId8"/>
    <sheet name="Brasília-DF" sheetId="33" r:id="rId9"/>
    <sheet name="Brusque-SC" sheetId="22" r:id="rId10"/>
    <sheet name="Cáceres-MT" sheetId="36" r:id="rId11"/>
    <sheet name="Campina Grande-PB" sheetId="52" r:id="rId12"/>
    <sheet name="Campinas-SP" sheetId="17" r:id="rId13"/>
    <sheet name="Campo Grande-MS" sheetId="21" r:id="rId14"/>
    <sheet name="Canoas-RS" sheetId="10" r:id="rId15"/>
    <sheet name="Caraguatatuba-SP" sheetId="37" r:id="rId16"/>
    <sheet name="Cariacica-ES" sheetId="45" r:id="rId17"/>
    <sheet name="Caxias do Sul-RS" sheetId="44" r:id="rId18"/>
    <sheet name="Chapecó-SC" sheetId="47" r:id="rId19"/>
    <sheet name="Concórdia-SC" sheetId="50" r:id="rId20"/>
    <sheet name="Contagem-MG" sheetId="39" r:id="rId21"/>
    <sheet name="Criciúma-SC" sheetId="49" r:id="rId22"/>
    <sheet name="Diadema-SP" sheetId="51" r:id="rId23"/>
    <sheet name="Fortaleza-CE" sheetId="20" r:id="rId24"/>
    <sheet name="Gaspar-SC" sheetId="14" r:id="rId25"/>
    <sheet name="Goiânia-GO" sheetId="3" r:id="rId26"/>
    <sheet name="Gravataí-RS" sheetId="56" r:id="rId27"/>
    <sheet name="Ipatinga-MG" sheetId="6" r:id="rId28"/>
    <sheet name="Itabira-MG" sheetId="35" r:id="rId29"/>
    <sheet name="Jaboticabal-SP" sheetId="1" r:id="rId30"/>
    <sheet name="Joinville-SC" sheetId="38" r:id="rId31"/>
    <sheet name="Macaé-RJ" sheetId="53" r:id="rId32"/>
    <sheet name="Maringá-PR" sheetId="57" r:id="rId33"/>
    <sheet name="Natal-RN" sheetId="29" r:id="rId34"/>
    <sheet name="Niterói-RJ" sheetId="42" r:id="rId35"/>
    <sheet name="Novo Hamburgo-RS" sheetId="31" r:id="rId36"/>
    <sheet name="Olinda-PE" sheetId="54" r:id="rId37"/>
    <sheet name="Petrópolis-RJ" sheetId="55" r:id="rId38"/>
    <sheet name="Piracicaba-SP" sheetId="28" r:id="rId39"/>
    <sheet name="Porto Alegre-RS" sheetId="23" r:id="rId40"/>
    <sheet name="Recife-PE" sheetId="18" r:id="rId41"/>
    <sheet name="Ribeirão Preto-SP" sheetId="2" r:id="rId42"/>
    <sheet name="Salvador-BA" sheetId="34" r:id="rId43"/>
    <sheet name="São Leopoldo-RS" sheetId="27" r:id="rId44"/>
    <sheet name="São Luís-MA" sheetId="26" r:id="rId45"/>
    <sheet name="São Paulo-SP" sheetId="24" r:id="rId46"/>
    <sheet name="Serra-ES" sheetId="46" r:id="rId47"/>
    <sheet name="Suzano-SP" sheetId="32" r:id="rId48"/>
    <sheet name="Sorocaba-SP" sheetId="5" r:id="rId49"/>
    <sheet name="Teresina-PI" sheetId="19" r:id="rId50"/>
    <sheet name="Toledo-PR" sheetId="8" r:id="rId51"/>
    <sheet name="Vila Velha - ES" sheetId="11" r:id="rId52"/>
    <sheet name="Vitória-ES" sheetId="43" r:id="rId53"/>
    <sheet name="Vitória da Conquista - BA" sheetId="16" r:id="rId54"/>
    <sheet name="Gráfico" sheetId="59" r:id="rId5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30" l="1"/>
  <c r="F4" i="30"/>
  <c r="F5" i="30"/>
  <c r="F6" i="30"/>
  <c r="F2" i="30"/>
  <c r="F36" i="23"/>
  <c r="F35" i="23"/>
  <c r="F32" i="23"/>
  <c r="F30" i="23"/>
  <c r="F29" i="23"/>
  <c r="F24" i="23"/>
  <c r="F25" i="23"/>
  <c r="F26" i="23"/>
  <c r="F27" i="23"/>
  <c r="F28" i="23"/>
  <c r="F23" i="23"/>
  <c r="F20" i="23"/>
  <c r="F21" i="23"/>
  <c r="F22" i="23"/>
  <c r="F19" i="23"/>
  <c r="F14" i="23"/>
  <c r="F15" i="23"/>
  <c r="F16" i="23"/>
  <c r="F17" i="23"/>
  <c r="F18" i="23"/>
  <c r="F13" i="23"/>
  <c r="F9" i="23"/>
  <c r="F10" i="23"/>
  <c r="F11" i="23"/>
  <c r="F12" i="23"/>
  <c r="F8" i="23"/>
  <c r="L2" i="17"/>
  <c r="K2" i="17"/>
  <c r="J2" i="17"/>
  <c r="I2" i="17"/>
  <c r="H2" i="17"/>
  <c r="G2" i="17"/>
  <c r="X2" i="9"/>
  <c r="W2" i="9"/>
  <c r="V2" i="9"/>
  <c r="U2" i="9"/>
  <c r="T2" i="9"/>
  <c r="S2" i="9"/>
  <c r="R2" i="9"/>
  <c r="Q2" i="9"/>
  <c r="P2" i="9"/>
  <c r="O2" i="9"/>
  <c r="N2" i="9"/>
  <c r="M2" i="9"/>
  <c r="L2" i="9"/>
  <c r="K2" i="9"/>
  <c r="J2" i="9"/>
  <c r="I2" i="9"/>
  <c r="H2" i="9"/>
  <c r="D23" i="6"/>
  <c r="E21" i="9" l="1"/>
  <c r="E11" i="47"/>
  <c r="E27" i="18"/>
  <c r="E26" i="18"/>
  <c r="E25" i="18"/>
  <c r="E24" i="18"/>
  <c r="E23" i="18"/>
  <c r="E22" i="18"/>
  <c r="E21" i="18"/>
  <c r="E20" i="18"/>
  <c r="E19" i="18"/>
  <c r="E18" i="18"/>
  <c r="E17" i="18"/>
  <c r="E16" i="18"/>
  <c r="E15" i="18"/>
  <c r="C27" i="18"/>
  <c r="D21" i="9"/>
  <c r="D27" i="18"/>
  <c r="D11" i="57" l="1"/>
  <c r="D3" i="57"/>
  <c r="D4" i="57"/>
  <c r="D7" i="57"/>
  <c r="D8" i="57"/>
  <c r="D9" i="57"/>
  <c r="D10" i="57"/>
  <c r="D2" i="57"/>
  <c r="D17" i="56"/>
  <c r="C13" i="56"/>
  <c r="C14" i="56"/>
  <c r="C15" i="56"/>
  <c r="C16" i="56"/>
  <c r="C12" i="56"/>
  <c r="C7" i="55"/>
  <c r="C6" i="54"/>
  <c r="D6" i="54"/>
  <c r="D5" i="53"/>
  <c r="C5" i="53"/>
  <c r="D5" i="52"/>
  <c r="C5" i="52"/>
  <c r="C7" i="50"/>
  <c r="D7" i="50"/>
  <c r="C6" i="49"/>
  <c r="D5" i="48"/>
  <c r="C5" i="48"/>
  <c r="C11" i="47"/>
  <c r="D11" i="47"/>
  <c r="D13" i="46"/>
  <c r="C13" i="46"/>
  <c r="C6" i="45" l="1"/>
  <c r="C7" i="44"/>
  <c r="E21" i="43"/>
  <c r="D21" i="43"/>
  <c r="B21" i="43"/>
  <c r="C7" i="42" l="1"/>
  <c r="C4" i="41"/>
  <c r="C12" i="40"/>
  <c r="C7" i="39"/>
  <c r="C4" i="38"/>
  <c r="C7" i="37"/>
  <c r="C7" i="36"/>
  <c r="C7" i="35" l="1"/>
  <c r="D5" i="34" l="1"/>
  <c r="C5" i="33"/>
  <c r="E7" i="30"/>
  <c r="D7" i="30"/>
  <c r="C7" i="30"/>
  <c r="D21" i="29"/>
  <c r="C21" i="29"/>
  <c r="E21" i="29"/>
  <c r="D12" i="28"/>
  <c r="C12" i="28"/>
  <c r="C9" i="17"/>
  <c r="C10" i="27"/>
  <c r="D10" i="27"/>
  <c r="D7" i="26"/>
  <c r="C7" i="26"/>
  <c r="C8" i="24"/>
  <c r="D8" i="24"/>
  <c r="C2" i="23"/>
  <c r="C3" i="23"/>
  <c r="C4" i="23"/>
  <c r="C5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B37" i="23"/>
  <c r="D37" i="23"/>
  <c r="E37" i="23"/>
  <c r="C7" i="22"/>
  <c r="D7" i="22"/>
  <c r="B7" i="22"/>
  <c r="B26" i="21"/>
  <c r="B25" i="21"/>
  <c r="B24" i="21"/>
  <c r="B22" i="21"/>
  <c r="B21" i="21"/>
  <c r="B20" i="21"/>
  <c r="B19" i="21"/>
  <c r="B18" i="21"/>
  <c r="B17" i="21"/>
  <c r="B16" i="21"/>
  <c r="B15" i="21"/>
  <c r="B14" i="21"/>
  <c r="C10" i="20"/>
  <c r="B10" i="20"/>
  <c r="D10" i="20"/>
  <c r="C20" i="19"/>
  <c r="C12" i="18"/>
  <c r="E11" i="18"/>
  <c r="D11" i="18"/>
  <c r="E10" i="18"/>
  <c r="D10" i="18"/>
  <c r="E9" i="18"/>
  <c r="E8" i="18"/>
  <c r="E7" i="18"/>
  <c r="D7" i="18"/>
  <c r="E6" i="18"/>
  <c r="D6" i="18"/>
  <c r="E5" i="18"/>
  <c r="D5" i="18"/>
  <c r="D4" i="18"/>
  <c r="D3" i="18"/>
  <c r="D2" i="18"/>
  <c r="E4" i="18"/>
  <c r="E3" i="18"/>
  <c r="E2" i="18"/>
  <c r="D9" i="17"/>
  <c r="D4" i="17"/>
  <c r="D3" i="17"/>
  <c r="D2" i="17"/>
  <c r="C37" i="23" l="1"/>
  <c r="D6" i="16"/>
  <c r="B13" i="16"/>
  <c r="C10" i="14"/>
  <c r="C5" i="13"/>
  <c r="C9" i="12"/>
  <c r="E7" i="10"/>
  <c r="D7" i="10"/>
  <c r="C7" i="10"/>
  <c r="C21" i="9"/>
  <c r="D4" i="5" l="1"/>
  <c r="D3" i="5"/>
  <c r="D2" i="5"/>
  <c r="B6" i="2"/>
  <c r="B7" i="2"/>
  <c r="B5" i="2"/>
</calcChain>
</file>

<file path=xl/sharedStrings.xml><?xml version="1.0" encoding="utf-8"?>
<sst xmlns="http://schemas.openxmlformats.org/spreadsheetml/2006/main" count="281" uniqueCount="60">
  <si>
    <t>Ano</t>
  </si>
  <si>
    <t>Valor corrigido</t>
  </si>
  <si>
    <t>%</t>
  </si>
  <si>
    <t>obs:</t>
  </si>
  <si>
    <t>Valor 2013-2015 leva em consideração o de 2013 diluido em 3 anos, dado os atrasos e não implementação de obras relatados pela câmara e em Capucelli (2017)</t>
  </si>
  <si>
    <t>De acordo com Capucelli, todo o investimento municipal passava pelo COP no governo PT</t>
  </si>
  <si>
    <t>Participação</t>
  </si>
  <si>
    <t>Valor original</t>
  </si>
  <si>
    <t>Valor corrigido (2024)</t>
  </si>
  <si>
    <t>1999/2000</t>
  </si>
  <si>
    <t>2001/2002</t>
  </si>
  <si>
    <t>2003/2004</t>
  </si>
  <si>
    <t>2005/2006</t>
  </si>
  <si>
    <t>2007/2008</t>
  </si>
  <si>
    <t>2009/2010</t>
  </si>
  <si>
    <t>2011/2012</t>
  </si>
  <si>
    <t>2013/2014</t>
  </si>
  <si>
    <t>2015/2016</t>
  </si>
  <si>
    <t>2006 (digital)</t>
  </si>
  <si>
    <t>2008 (digital)</t>
  </si>
  <si>
    <t>2011 (digital)</t>
  </si>
  <si>
    <t>2013 (digital)</t>
  </si>
  <si>
    <t>2024/2025</t>
  </si>
  <si>
    <t>Percent</t>
  </si>
  <si>
    <t>2017/2018</t>
  </si>
  <si>
    <t>2019/2020</t>
  </si>
  <si>
    <t>2021/2022</t>
  </si>
  <si>
    <t>2023/2024</t>
  </si>
  <si>
    <t>2002/2003</t>
  </si>
  <si>
    <t>média</t>
  </si>
  <si>
    <t>méd</t>
  </si>
  <si>
    <t>Média</t>
  </si>
  <si>
    <t>MÉDIA</t>
  </si>
  <si>
    <t>Percent*</t>
  </si>
  <si>
    <t>*Valor está diferente da resposta do questionário pois responderam em comparação com toda a despesa, aqui está filtrado para investimento</t>
  </si>
  <si>
    <t>Fonte: Siqueira &amp; Marzulo, Muller e Fedozzi e própria prefeitura -&gt; há dados conflitantes</t>
  </si>
  <si>
    <t>Percentagem</t>
  </si>
  <si>
    <t>Valores atualizados (2024)</t>
  </si>
  <si>
    <t>Valores</t>
  </si>
  <si>
    <t>Particip</t>
  </si>
  <si>
    <t>Estimativas a partir de dados de 2002 do trabalho de Cruz Neto (2009)</t>
  </si>
  <si>
    <t>FONTES</t>
  </si>
  <si>
    <t>https://www.camaracaxias.rs.gov.br/noticias/index/54</t>
  </si>
  <si>
    <t>https://www.youtube.com/watch?v=ANbLsTUz6EM</t>
  </si>
  <si>
    <t>estimativas a partir dos dados de Ferreira (2013)</t>
  </si>
  <si>
    <t>fontes</t>
  </si>
  <si>
    <t>https://www.dgabc.com.br/Noticia/360368/diadema-admite-limitacao-no-orcamento-participativo</t>
  </si>
  <si>
    <t>Teixeira et al (2008)</t>
  </si>
  <si>
    <t>Apesar do instagram altamente ativo (https://www.instagram.com/orcamento.participativocg/), única informação veio de Costa (2002)</t>
  </si>
  <si>
    <t>sem dados</t>
  </si>
  <si>
    <t>Valor original total</t>
  </si>
  <si>
    <t>Valor original OP</t>
  </si>
  <si>
    <t>Participação presencial</t>
  </si>
  <si>
    <t>Participação online</t>
  </si>
  <si>
    <t>n/a</t>
  </si>
  <si>
    <t>SOMA</t>
  </si>
  <si>
    <t>valores de acordo com a LOA, soam extremamente fora da realidade</t>
  </si>
  <si>
    <t>estimativas de valor baseados em Santos (2017)</t>
  </si>
  <si>
    <t>soma digital e presencial</t>
  </si>
  <si>
    <t>Per capita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</si>
</sst>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"/>
    <numFmt numFmtId="165" formatCode="&quot;R$&quot;\ #,##0.00"/>
  </numFmts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0" xfId="0" applyNumberFormat="1"/>
    <xf numFmtId="165" fontId="0" fillId="0" borderId="0" xfId="0" applyNumberFormat="1"/>
    <xf numFmtId="10" fontId="0" fillId="0" borderId="0" xfId="0" applyNumberFormat="1"/>
    <xf numFmtId="4" fontId="0" fillId="0" borderId="0" xfId="0" applyNumberFormat="1"/>
    <xf numFmtId="2" fontId="0" fillId="0" borderId="0" xfId="0" applyNumberFormat="1"/>
    <xf numFmtId="3" fontId="0" fillId="0" borderId="0" xfId="0" applyNumberFormat="1"/>
    <xf numFmtId="1" fontId="0" fillId="0" borderId="0" xfId="0" applyNumberFormat="1"/>
    <xf numFmtId="165" fontId="0" fillId="2" borderId="0" xfId="0" applyNumberFormat="1" applyFill="1"/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0" fontId="0" fillId="0" borderId="5" xfId="0" applyNumberFormat="1" applyBorder="1"/>
    <xf numFmtId="0" fontId="0" fillId="0" borderId="6" xfId="0" applyBorder="1"/>
    <xf numFmtId="165" fontId="0" fillId="0" borderId="7" xfId="0" applyNumberFormat="1" applyBorder="1"/>
    <xf numFmtId="0" fontId="0" fillId="0" borderId="7" xfId="0" applyBorder="1"/>
    <xf numFmtId="10" fontId="0" fillId="0" borderId="8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spPr>
            <a:ln w="22225" cap="rnd">
              <a:solidFill>
                <a:schemeClr val="accent5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'Belém-PA'!$A$2:$A$6</c:f>
              <c:numCache>
                <c:formatCode>General</c:formatCode>
                <c:ptCount val="5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2002</c:v>
                </c:pt>
              </c:numCache>
            </c:numRef>
          </c:cat>
          <c:val>
            <c:numRef>
              <c:f>'Belém-PA'!$F$2:$F$6</c:f>
              <c:numCache>
                <c:formatCode>"R$"\ #,##0.00</c:formatCode>
                <c:ptCount val="5"/>
                <c:pt idx="0">
                  <c:v>92.502503111788556</c:v>
                </c:pt>
                <c:pt idx="1">
                  <c:v>129.61562016345286</c:v>
                </c:pt>
                <c:pt idx="2">
                  <c:v>77.548120339149818</c:v>
                </c:pt>
                <c:pt idx="3">
                  <c:v>74.969268452476697</c:v>
                </c:pt>
                <c:pt idx="4">
                  <c:v>33.821349290262326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9D-402E-9377-28C2A1027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520415"/>
        <c:axId val="599519935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spPr>
                  <a:ln w="22225" cap="rnd">
                    <a:solidFill>
                      <a:schemeClr val="accent5">
                        <a:shade val="76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'Belém-PA'!$A$2:$A$6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1997</c:v>
                      </c:pt>
                      <c:pt idx="1">
                        <c:v>1998</c:v>
                      </c:pt>
                      <c:pt idx="2">
                        <c:v>1999</c:v>
                      </c:pt>
                      <c:pt idx="3">
                        <c:v>2000</c:v>
                      </c:pt>
                      <c:pt idx="4">
                        <c:v>2002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'Belém-PA'!$A$2:$A$6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1997</c:v>
                      </c:pt>
                      <c:pt idx="1">
                        <c:v>1998</c:v>
                      </c:pt>
                      <c:pt idx="2">
                        <c:v>1999</c:v>
                      </c:pt>
                      <c:pt idx="3">
                        <c:v>2000</c:v>
                      </c:pt>
                      <c:pt idx="4">
                        <c:v>2002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A9D-402E-9377-28C2A10278EE}"/>
                  </c:ext>
                </c:extLst>
              </c15:ser>
            </c15:filteredLineSeries>
          </c:ext>
        </c:extLst>
      </c:lineChart>
      <c:catAx>
        <c:axId val="5995204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599519935"/>
        <c:crosses val="autoZero"/>
        <c:auto val="1"/>
        <c:lblAlgn val="ctr"/>
        <c:lblOffset val="100"/>
        <c:noMultiLvlLbl val="0"/>
      </c:catAx>
      <c:valAx>
        <c:axId val="599519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&quot;R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599520415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ambria" panose="02040503050406030204" pitchFamily="18" charset="0"/>
          <a:ea typeface="Cambria" panose="020405030504060302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'Belo Horizonte-MG'!$H$1:$X$1</c:f>
              <c:numCache>
                <c:formatCode>General</c:formatCode>
                <c:ptCount val="17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2000</c:v>
                </c:pt>
                <c:pt idx="6">
                  <c:v>2002</c:v>
                </c:pt>
                <c:pt idx="7">
                  <c:v>2004</c:v>
                </c:pt>
                <c:pt idx="8">
                  <c:v>2006</c:v>
                </c:pt>
                <c:pt idx="9">
                  <c:v>2008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2016</c:v>
                </c:pt>
                <c:pt idx="16">
                  <c:v>2024</c:v>
                </c:pt>
              </c:numCache>
            </c:numRef>
          </c:cat>
          <c:val>
            <c:numRef>
              <c:f>'Belo Horizonte-MG'!$H$2:$X$2</c:f>
              <c:numCache>
                <c:formatCode>"R$"\ #,##0.00</c:formatCode>
                <c:ptCount val="17"/>
                <c:pt idx="0">
                  <c:v>73.637898808271473</c:v>
                </c:pt>
                <c:pt idx="1">
                  <c:v>76.577665609690129</c:v>
                </c:pt>
                <c:pt idx="2">
                  <c:v>105.20858128137117</c:v>
                </c:pt>
                <c:pt idx="3">
                  <c:v>97.752716987015717</c:v>
                </c:pt>
                <c:pt idx="4">
                  <c:v>56.601223010467073</c:v>
                </c:pt>
                <c:pt idx="5">
                  <c:v>171.25031769566223</c:v>
                </c:pt>
                <c:pt idx="6">
                  <c:v>164.94744704774482</c:v>
                </c:pt>
                <c:pt idx="7">
                  <c:v>126.92009656354226</c:v>
                </c:pt>
                <c:pt idx="8">
                  <c:v>143.49198884274108</c:v>
                </c:pt>
                <c:pt idx="9">
                  <c:v>144.9992842153267</c:v>
                </c:pt>
                <c:pt idx="10">
                  <c:v>127.19816382200543</c:v>
                </c:pt>
                <c:pt idx="11">
                  <c:v>48.992908387719346</c:v>
                </c:pt>
                <c:pt idx="12">
                  <c:v>108.87312975048744</c:v>
                </c:pt>
                <c:pt idx="13">
                  <c:v>43.813736474017865</c:v>
                </c:pt>
                <c:pt idx="14">
                  <c:v>114.22675597046252</c:v>
                </c:pt>
                <c:pt idx="15">
                  <c:v>114.55583876561953</c:v>
                </c:pt>
                <c:pt idx="16">
                  <c:v>30.50974681925441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94-4FD4-9F3F-E3EA23EF0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903151"/>
        <c:axId val="30690555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spPr>
                  <a:ln w="2222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'Belo Horizonte-MG'!$H$1:$X$1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1994</c:v>
                      </c:pt>
                      <c:pt idx="1">
                        <c:v>1995</c:v>
                      </c:pt>
                      <c:pt idx="2">
                        <c:v>1996</c:v>
                      </c:pt>
                      <c:pt idx="3">
                        <c:v>1997</c:v>
                      </c:pt>
                      <c:pt idx="4">
                        <c:v>1998</c:v>
                      </c:pt>
                      <c:pt idx="5">
                        <c:v>2000</c:v>
                      </c:pt>
                      <c:pt idx="6">
                        <c:v>2002</c:v>
                      </c:pt>
                      <c:pt idx="7">
                        <c:v>2004</c:v>
                      </c:pt>
                      <c:pt idx="8">
                        <c:v>2006</c:v>
                      </c:pt>
                      <c:pt idx="9">
                        <c:v>2008</c:v>
                      </c:pt>
                      <c:pt idx="10">
                        <c:v>2010</c:v>
                      </c:pt>
                      <c:pt idx="11">
                        <c:v>2011</c:v>
                      </c:pt>
                      <c:pt idx="12">
                        <c:v>2012</c:v>
                      </c:pt>
                      <c:pt idx="13">
                        <c:v>2013</c:v>
                      </c:pt>
                      <c:pt idx="14">
                        <c:v>2014</c:v>
                      </c:pt>
                      <c:pt idx="15">
                        <c:v>2016</c:v>
                      </c:pt>
                      <c:pt idx="16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'Belo Horizonte-MG'!$H$1:$X$1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1994</c:v>
                      </c:pt>
                      <c:pt idx="1">
                        <c:v>1995</c:v>
                      </c:pt>
                      <c:pt idx="2">
                        <c:v>1996</c:v>
                      </c:pt>
                      <c:pt idx="3">
                        <c:v>1997</c:v>
                      </c:pt>
                      <c:pt idx="4">
                        <c:v>1998</c:v>
                      </c:pt>
                      <c:pt idx="5">
                        <c:v>2000</c:v>
                      </c:pt>
                      <c:pt idx="6">
                        <c:v>2002</c:v>
                      </c:pt>
                      <c:pt idx="7">
                        <c:v>2004</c:v>
                      </c:pt>
                      <c:pt idx="8">
                        <c:v>2006</c:v>
                      </c:pt>
                      <c:pt idx="9">
                        <c:v>2008</c:v>
                      </c:pt>
                      <c:pt idx="10">
                        <c:v>2010</c:v>
                      </c:pt>
                      <c:pt idx="11">
                        <c:v>2011</c:v>
                      </c:pt>
                      <c:pt idx="12">
                        <c:v>2012</c:v>
                      </c:pt>
                      <c:pt idx="13">
                        <c:v>2013</c:v>
                      </c:pt>
                      <c:pt idx="14">
                        <c:v>2014</c:v>
                      </c:pt>
                      <c:pt idx="15">
                        <c:v>2016</c:v>
                      </c:pt>
                      <c:pt idx="16">
                        <c:v>2024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C694-4FD4-9F3F-E3EA23EF0C43}"/>
                  </c:ext>
                </c:extLst>
              </c15:ser>
            </c15:filteredLineSeries>
          </c:ext>
        </c:extLst>
      </c:lineChart>
      <c:catAx>
        <c:axId val="306903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306905551"/>
        <c:crosses val="autoZero"/>
        <c:auto val="1"/>
        <c:lblAlgn val="ctr"/>
        <c:lblOffset val="100"/>
        <c:noMultiLvlLbl val="0"/>
      </c:catAx>
      <c:valAx>
        <c:axId val="30690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&quot;R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3069031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ambria" panose="02040503050406030204" pitchFamily="18" charset="0"/>
          <a:ea typeface="Cambria" panose="020405030504060302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spPr>
            <a:ln w="2222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'Campinas-SP'!$G$1:$L$1</c:f>
              <c:numCache>
                <c:formatCode>General</c:formatCode>
                <c:ptCount val="6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2021</c:v>
                </c:pt>
                <c:pt idx="5">
                  <c:v>2023</c:v>
                </c:pt>
              </c:numCache>
            </c:numRef>
          </c:cat>
          <c:val>
            <c:numRef>
              <c:f>'Campinas-SP'!$G$2:$L$2</c:f>
              <c:numCache>
                <c:formatCode>"R$"\ #,##0.00</c:formatCode>
                <c:ptCount val="6"/>
                <c:pt idx="0">
                  <c:v>319.50459242662441</c:v>
                </c:pt>
                <c:pt idx="1">
                  <c:v>261.45225490924247</c:v>
                </c:pt>
                <c:pt idx="2">
                  <c:v>338.8073835666745</c:v>
                </c:pt>
                <c:pt idx="3">
                  <c:v>333.61928074801216</c:v>
                </c:pt>
                <c:pt idx="4">
                  <c:v>243.42512136326775</c:v>
                </c:pt>
                <c:pt idx="5">
                  <c:v>642.83260713336585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56-4FD9-831C-4BCD42743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002639"/>
        <c:axId val="310999279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spPr>
                  <a:ln w="22225" cap="rnd">
                    <a:solidFill>
                      <a:schemeClr val="dk1">
                        <a:tint val="885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'Campinas-SP'!$G$1:$L$1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2021</c:v>
                      </c:pt>
                      <c:pt idx="5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'Campinas-SP'!$G$1:$L$1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2002</c:v>
                      </c:pt>
                      <c:pt idx="1">
                        <c:v>2003</c:v>
                      </c:pt>
                      <c:pt idx="2">
                        <c:v>2004</c:v>
                      </c:pt>
                      <c:pt idx="3">
                        <c:v>2005</c:v>
                      </c:pt>
                      <c:pt idx="4">
                        <c:v>2021</c:v>
                      </c:pt>
                      <c:pt idx="5">
                        <c:v>2023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156-4FD9-831C-4BCD42743450}"/>
                  </c:ext>
                </c:extLst>
              </c15:ser>
            </c15:filteredLineSeries>
          </c:ext>
        </c:extLst>
      </c:lineChart>
      <c:catAx>
        <c:axId val="3110026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310999279"/>
        <c:crosses val="autoZero"/>
        <c:auto val="1"/>
        <c:lblAlgn val="ctr"/>
        <c:lblOffset val="100"/>
        <c:noMultiLvlLbl val="0"/>
      </c:catAx>
      <c:valAx>
        <c:axId val="310999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&quot;R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311002639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ambria" panose="02040503050406030204" pitchFamily="18" charset="0"/>
          <a:ea typeface="Cambria" panose="020405030504060302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1"/>
          <c:spPr>
            <a:ln w="22225" cap="rnd">
              <a:solidFill>
                <a:schemeClr val="accent4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'Porto Alegre-RS'!$G$8:$G$33</c:f>
              <c:numCache>
                <c:formatCode>General</c:formatCod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2019</c:v>
                </c:pt>
                <c:pt idx="24">
                  <c:v>2022</c:v>
                </c:pt>
                <c:pt idx="25">
                  <c:v>2023</c:v>
                </c:pt>
              </c:numCache>
            </c:numRef>
          </c:cat>
          <c:val>
            <c:numRef>
              <c:f>'Porto Alegre-RS'!$H$8:$H$33</c:f>
              <c:numCache>
                <c:formatCode>"R$"\ #,##0.00</c:formatCode>
                <c:ptCount val="26"/>
                <c:pt idx="0">
                  <c:v>3811.2959452620285</c:v>
                </c:pt>
                <c:pt idx="1">
                  <c:v>3302.8751862048362</c:v>
                </c:pt>
                <c:pt idx="2">
                  <c:v>1212.6526397870116</c:v>
                </c:pt>
                <c:pt idx="3">
                  <c:v>1126.7150346190078</c:v>
                </c:pt>
                <c:pt idx="4">
                  <c:v>1102.6967504855197</c:v>
                </c:pt>
                <c:pt idx="5">
                  <c:v>897.31189380342346</c:v>
                </c:pt>
                <c:pt idx="6">
                  <c:v>542.94671579241356</c:v>
                </c:pt>
                <c:pt idx="7">
                  <c:v>489.8666501738216</c:v>
                </c:pt>
                <c:pt idx="8">
                  <c:v>404.69161526984618</c:v>
                </c:pt>
                <c:pt idx="9">
                  <c:v>361.02634893685831</c:v>
                </c:pt>
                <c:pt idx="10">
                  <c:v>158.82460423786739</c:v>
                </c:pt>
                <c:pt idx="11">
                  <c:v>153.02715259019865</c:v>
                </c:pt>
                <c:pt idx="12">
                  <c:v>147.85792789163094</c:v>
                </c:pt>
                <c:pt idx="13">
                  <c:v>139.19199940648579</c:v>
                </c:pt>
                <c:pt idx="14">
                  <c:v>81.308549962417985</c:v>
                </c:pt>
                <c:pt idx="15">
                  <c:v>81.193502264517491</c:v>
                </c:pt>
                <c:pt idx="16">
                  <c:v>73.630360676651875</c:v>
                </c:pt>
                <c:pt idx="17">
                  <c:v>69.496377140967724</c:v>
                </c:pt>
                <c:pt idx="18">
                  <c:v>28.470816326096198</c:v>
                </c:pt>
                <c:pt idx="19">
                  <c:v>76.546923250489058</c:v>
                </c:pt>
                <c:pt idx="20">
                  <c:v>31.560054180966986</c:v>
                </c:pt>
                <c:pt idx="21">
                  <c:v>42.655427001514063</c:v>
                </c:pt>
                <c:pt idx="22">
                  <c:v>23.410252493229361</c:v>
                </c:pt>
                <c:pt idx="23">
                  <c:v>48.483520553592875</c:v>
                </c:pt>
                <c:pt idx="24">
                  <c:v>1.4533973191746026</c:v>
                </c:pt>
                <c:pt idx="25">
                  <c:v>10.681714116027628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09-469E-914A-5FBC87DF5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606207"/>
        <c:axId val="17860716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spPr>
                  <a:ln w="22225" cap="rnd">
                    <a:solidFill>
                      <a:schemeClr val="accent4">
                        <a:shade val="76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'Porto Alegre-RS'!$G$8:$G$33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1995</c:v>
                      </c:pt>
                      <c:pt idx="1">
                        <c:v>1996</c:v>
                      </c:pt>
                      <c:pt idx="2">
                        <c:v>1997</c:v>
                      </c:pt>
                      <c:pt idx="3">
                        <c:v>1998</c:v>
                      </c:pt>
                      <c:pt idx="4">
                        <c:v>1999</c:v>
                      </c:pt>
                      <c:pt idx="5">
                        <c:v>2000</c:v>
                      </c:pt>
                      <c:pt idx="6">
                        <c:v>2001</c:v>
                      </c:pt>
                      <c:pt idx="7">
                        <c:v>2002</c:v>
                      </c:pt>
                      <c:pt idx="8">
                        <c:v>2003</c:v>
                      </c:pt>
                      <c:pt idx="9">
                        <c:v>2004</c:v>
                      </c:pt>
                      <c:pt idx="10">
                        <c:v>2005</c:v>
                      </c:pt>
                      <c:pt idx="11">
                        <c:v>2006</c:v>
                      </c:pt>
                      <c:pt idx="12">
                        <c:v>2007</c:v>
                      </c:pt>
                      <c:pt idx="13">
                        <c:v>2008</c:v>
                      </c:pt>
                      <c:pt idx="14">
                        <c:v>2009</c:v>
                      </c:pt>
                      <c:pt idx="15">
                        <c:v>2010</c:v>
                      </c:pt>
                      <c:pt idx="16">
                        <c:v>2011</c:v>
                      </c:pt>
                      <c:pt idx="17">
                        <c:v>2012</c:v>
                      </c:pt>
                      <c:pt idx="18">
                        <c:v>2013</c:v>
                      </c:pt>
                      <c:pt idx="19">
                        <c:v>2014</c:v>
                      </c:pt>
                      <c:pt idx="20">
                        <c:v>2015</c:v>
                      </c:pt>
                      <c:pt idx="21">
                        <c:v>2016</c:v>
                      </c:pt>
                      <c:pt idx="22">
                        <c:v>2017</c:v>
                      </c:pt>
                      <c:pt idx="23">
                        <c:v>2019</c:v>
                      </c:pt>
                      <c:pt idx="24">
                        <c:v>2022</c:v>
                      </c:pt>
                      <c:pt idx="25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'Porto Alegre-RS'!$G$8:$G$33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1995</c:v>
                      </c:pt>
                      <c:pt idx="1">
                        <c:v>1996</c:v>
                      </c:pt>
                      <c:pt idx="2">
                        <c:v>1997</c:v>
                      </c:pt>
                      <c:pt idx="3">
                        <c:v>1998</c:v>
                      </c:pt>
                      <c:pt idx="4">
                        <c:v>1999</c:v>
                      </c:pt>
                      <c:pt idx="5">
                        <c:v>2000</c:v>
                      </c:pt>
                      <c:pt idx="6">
                        <c:v>2001</c:v>
                      </c:pt>
                      <c:pt idx="7">
                        <c:v>2002</c:v>
                      </c:pt>
                      <c:pt idx="8">
                        <c:v>2003</c:v>
                      </c:pt>
                      <c:pt idx="9">
                        <c:v>2004</c:v>
                      </c:pt>
                      <c:pt idx="10">
                        <c:v>2005</c:v>
                      </c:pt>
                      <c:pt idx="11">
                        <c:v>2006</c:v>
                      </c:pt>
                      <c:pt idx="12">
                        <c:v>2007</c:v>
                      </c:pt>
                      <c:pt idx="13">
                        <c:v>2008</c:v>
                      </c:pt>
                      <c:pt idx="14">
                        <c:v>2009</c:v>
                      </c:pt>
                      <c:pt idx="15">
                        <c:v>2010</c:v>
                      </c:pt>
                      <c:pt idx="16">
                        <c:v>2011</c:v>
                      </c:pt>
                      <c:pt idx="17">
                        <c:v>2012</c:v>
                      </c:pt>
                      <c:pt idx="18">
                        <c:v>2013</c:v>
                      </c:pt>
                      <c:pt idx="19">
                        <c:v>2014</c:v>
                      </c:pt>
                      <c:pt idx="20">
                        <c:v>2015</c:v>
                      </c:pt>
                      <c:pt idx="21">
                        <c:v>2016</c:v>
                      </c:pt>
                      <c:pt idx="22">
                        <c:v>2017</c:v>
                      </c:pt>
                      <c:pt idx="23">
                        <c:v>2019</c:v>
                      </c:pt>
                      <c:pt idx="24">
                        <c:v>2022</c:v>
                      </c:pt>
                      <c:pt idx="25">
                        <c:v>2023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109-469E-914A-5FBC87DF5A98}"/>
                  </c:ext>
                </c:extLst>
              </c15:ser>
            </c15:filteredLineSeries>
          </c:ext>
        </c:extLst>
      </c:lineChart>
      <c:catAx>
        <c:axId val="17860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178607167"/>
        <c:crosses val="autoZero"/>
        <c:auto val="1"/>
        <c:lblAlgn val="ctr"/>
        <c:lblOffset val="100"/>
        <c:noMultiLvlLbl val="0"/>
      </c:catAx>
      <c:valAx>
        <c:axId val="178607167"/>
        <c:scaling>
          <c:orientation val="minMax"/>
          <c:max val="400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&quot;R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pt-BR"/>
          </a:p>
        </c:txPr>
        <c:crossAx val="178606207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5</xdr:row>
      <xdr:rowOff>19050</xdr:rowOff>
    </xdr:from>
    <xdr:to>
      <xdr:col>13</xdr:col>
      <xdr:colOff>190500</xdr:colOff>
      <xdr:row>20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414F4E6-92D4-4B30-5D78-3C6BB9BF5D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447674</xdr:colOff>
      <xdr:row>6</xdr:row>
      <xdr:rowOff>14288</xdr:rowOff>
    </xdr:from>
    <xdr:to>
      <xdr:col>20</xdr:col>
      <xdr:colOff>514349</xdr:colOff>
      <xdr:row>22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AB9D844-49F3-576F-1A3E-69DC0FA9A2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9</xdr:row>
      <xdr:rowOff>157163</xdr:rowOff>
    </xdr:from>
    <xdr:to>
      <xdr:col>17</xdr:col>
      <xdr:colOff>76200</xdr:colOff>
      <xdr:row>25</xdr:row>
      <xdr:rowOff>4763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D32EF5-FD99-12BC-438A-4725574D3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</xdr:colOff>
      <xdr:row>13</xdr:row>
      <xdr:rowOff>125730</xdr:rowOff>
    </xdr:from>
    <xdr:to>
      <xdr:col>16</xdr:col>
      <xdr:colOff>358140</xdr:colOff>
      <xdr:row>28</xdr:row>
      <xdr:rowOff>125730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49058D5-949C-F60E-0F5D-0423D08E88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5D911-0706-4536-B3D7-3951FAE2D325}">
  <dimension ref="A1:C4"/>
  <sheetViews>
    <sheetView workbookViewId="0">
      <selection activeCell="C4" sqref="C4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2009</v>
      </c>
      <c r="B2" s="2">
        <v>2763960</v>
      </c>
      <c r="C2" s="2">
        <v>7591212.2699999996</v>
      </c>
    </row>
    <row r="3" spans="1:3" x14ac:dyDescent="0.3">
      <c r="A3">
        <v>2011</v>
      </c>
      <c r="B3" s="2">
        <v>5332000</v>
      </c>
      <c r="C3" s="2">
        <v>12534568.51</v>
      </c>
    </row>
    <row r="4" spans="1:3" x14ac:dyDescent="0.3">
      <c r="C4" s="2">
        <f>AVERAGE(C2:C3)</f>
        <v>10062890.390000001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E398A-AA81-451C-A9B1-DA3A2C35C88D}">
  <dimension ref="A1:E7"/>
  <sheetViews>
    <sheetView workbookViewId="0">
      <selection activeCell="C8" sqref="C8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33</v>
      </c>
      <c r="E1" t="s">
        <v>34</v>
      </c>
    </row>
    <row r="2" spans="1:5" x14ac:dyDescent="0.3">
      <c r="A2">
        <v>2012</v>
      </c>
      <c r="B2" s="2">
        <v>6156512.7699999996</v>
      </c>
      <c r="C2" s="2">
        <v>14472849.039999999</v>
      </c>
      <c r="D2" s="3">
        <v>3.9600000000000003E-2</v>
      </c>
    </row>
    <row r="3" spans="1:5" x14ac:dyDescent="0.3">
      <c r="A3">
        <v>2013</v>
      </c>
      <c r="B3" s="2">
        <v>3418030.84</v>
      </c>
      <c r="C3" s="2">
        <v>7512168</v>
      </c>
      <c r="D3" s="3">
        <v>0.03</v>
      </c>
    </row>
    <row r="4" spans="1:5" x14ac:dyDescent="0.3">
      <c r="A4">
        <v>2014</v>
      </c>
      <c r="B4" s="2">
        <v>3612285.9</v>
      </c>
      <c r="C4" s="2">
        <v>7518195.7400000002</v>
      </c>
      <c r="D4" s="3">
        <v>1.7899999999999999E-2</v>
      </c>
    </row>
    <row r="5" spans="1:5" x14ac:dyDescent="0.3">
      <c r="A5">
        <v>2015</v>
      </c>
      <c r="B5" s="2">
        <v>4302584.84</v>
      </c>
      <c r="C5" s="2">
        <v>8638511.2699999996</v>
      </c>
      <c r="D5" s="3">
        <v>2.6800000000000001E-2</v>
      </c>
    </row>
    <row r="6" spans="1:5" x14ac:dyDescent="0.3">
      <c r="A6">
        <v>2016</v>
      </c>
      <c r="B6" s="2">
        <v>4286891.0599999996</v>
      </c>
      <c r="C6" s="2">
        <v>7776060.71</v>
      </c>
      <c r="D6" s="3">
        <v>3.3799999999999997E-2</v>
      </c>
    </row>
    <row r="7" spans="1:5" x14ac:dyDescent="0.3">
      <c r="A7" t="s">
        <v>32</v>
      </c>
      <c r="B7" s="2">
        <f>AVERAGE(B2:B6)</f>
        <v>4355261.0820000004</v>
      </c>
      <c r="C7" s="2">
        <f>AVERAGE(C2:C6)</f>
        <v>9183556.9519999996</v>
      </c>
      <c r="D7" s="3">
        <f>AVERAGE(D2:D6)</f>
        <v>2.962E-2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08A5E-97A3-4E88-8156-38E9EEB745A7}">
  <dimension ref="A1:C7"/>
  <sheetViews>
    <sheetView workbookViewId="0">
      <selection activeCell="B2" sqref="B2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2018</v>
      </c>
      <c r="B2" s="2">
        <v>12394345.810000001</v>
      </c>
      <c r="C2" s="2">
        <v>19303603.629999999</v>
      </c>
    </row>
    <row r="3" spans="1:3" x14ac:dyDescent="0.3">
      <c r="A3">
        <v>2019</v>
      </c>
      <c r="B3" s="2">
        <v>30474774.739999998</v>
      </c>
      <c r="C3" s="2">
        <v>45650685.350000001</v>
      </c>
    </row>
    <row r="4" spans="1:3" x14ac:dyDescent="0.3">
      <c r="A4">
        <v>2020</v>
      </c>
      <c r="B4" s="2">
        <v>23536914.539999999</v>
      </c>
      <c r="C4" s="2">
        <v>28314778.739999998</v>
      </c>
    </row>
    <row r="5" spans="1:3" x14ac:dyDescent="0.3">
      <c r="A5">
        <v>2021</v>
      </c>
      <c r="B5" s="2">
        <v>15286681.49</v>
      </c>
      <c r="C5" s="2">
        <v>15599758.84</v>
      </c>
    </row>
    <row r="6" spans="1:3" x14ac:dyDescent="0.3">
      <c r="A6">
        <v>2022</v>
      </c>
      <c r="B6" s="2">
        <v>31824867.030000001</v>
      </c>
      <c r="C6" s="2">
        <v>31824867.030000001</v>
      </c>
    </row>
    <row r="7" spans="1:3" x14ac:dyDescent="0.3">
      <c r="C7" s="2">
        <f>AVERAGE(C2:C6)</f>
        <v>28138738.718000002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A299D-E421-4A9F-BE2C-100E95BDF654}">
  <dimension ref="A1:E6"/>
  <sheetViews>
    <sheetView workbookViewId="0">
      <selection activeCell="G13" sqref="G13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  <col min="4" max="4" width="9.109375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23</v>
      </c>
    </row>
    <row r="2" spans="1:5" x14ac:dyDescent="0.3">
      <c r="A2">
        <v>1998</v>
      </c>
      <c r="B2" s="2">
        <v>14593498.220000001</v>
      </c>
      <c r="C2" s="2">
        <v>110106337.33</v>
      </c>
      <c r="D2" s="3">
        <v>0.22500000000000001</v>
      </c>
    </row>
    <row r="3" spans="1:5" x14ac:dyDescent="0.3">
      <c r="A3">
        <v>1999</v>
      </c>
      <c r="B3" s="2">
        <v>1224477.3600000001</v>
      </c>
      <c r="C3" s="2">
        <v>7796250.04</v>
      </c>
      <c r="D3" s="3">
        <v>1.0999999999999999E-2</v>
      </c>
    </row>
    <row r="4" spans="1:5" x14ac:dyDescent="0.3">
      <c r="A4">
        <v>2000</v>
      </c>
      <c r="B4" s="2">
        <v>11750983.82</v>
      </c>
      <c r="C4" s="2">
        <v>67259752.390000001</v>
      </c>
      <c r="D4" s="3">
        <v>8.3000000000000004E-2</v>
      </c>
    </row>
    <row r="5" spans="1:5" x14ac:dyDescent="0.3">
      <c r="C5" s="2">
        <f>AVERAGE(C2:C4)</f>
        <v>61720779.919999994</v>
      </c>
      <c r="D5" s="3">
        <f>AVERAGE(D2:D4)</f>
        <v>0.10633333333333334</v>
      </c>
    </row>
    <row r="6" spans="1:5" x14ac:dyDescent="0.3">
      <c r="E6" t="s">
        <v>48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972CB-62A0-457A-830F-E077F4FC7FA3}">
  <dimension ref="A1:L9"/>
  <sheetViews>
    <sheetView topLeftCell="B1" zoomScale="80" zoomScaleNormal="80" workbookViewId="0">
      <selection activeCell="P30" sqref="P30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  <col min="4" max="4" width="11.5546875" bestFit="1" customWidth="1"/>
    <col min="5" max="5" width="9.109375" bestFit="1" customWidth="1"/>
  </cols>
  <sheetData>
    <row r="1" spans="1:12" x14ac:dyDescent="0.3">
      <c r="A1" t="s">
        <v>0</v>
      </c>
      <c r="B1" t="s">
        <v>7</v>
      </c>
      <c r="C1" t="s">
        <v>8</v>
      </c>
      <c r="D1" t="s">
        <v>6</v>
      </c>
      <c r="E1" t="s">
        <v>23</v>
      </c>
      <c r="G1">
        <v>2002</v>
      </c>
      <c r="H1">
        <v>2003</v>
      </c>
      <c r="I1">
        <v>2004</v>
      </c>
      <c r="J1">
        <v>2005</v>
      </c>
      <c r="K1">
        <v>2021</v>
      </c>
      <c r="L1">
        <v>2023</v>
      </c>
    </row>
    <row r="2" spans="1:12" x14ac:dyDescent="0.3">
      <c r="A2">
        <v>2001</v>
      </c>
      <c r="D2">
        <f>8230+840+6473</f>
        <v>15543</v>
      </c>
      <c r="G2" s="2">
        <f>309726473.88/969396</f>
        <v>319.50459242662441</v>
      </c>
      <c r="H2" s="2">
        <f>253450770.1/969396</f>
        <v>261.45225490924247</v>
      </c>
      <c r="I2" s="2">
        <f>328438522.4/969396</f>
        <v>338.8073835666745</v>
      </c>
      <c r="J2" s="2">
        <f>C6/969396</f>
        <v>333.61928074801216</v>
      </c>
      <c r="K2" s="2">
        <f>C7/1170247</f>
        <v>243.42512136326775</v>
      </c>
      <c r="L2" s="2">
        <f>C8/1170247</f>
        <v>642.83260713336585</v>
      </c>
    </row>
    <row r="3" spans="1:12" x14ac:dyDescent="0.3">
      <c r="A3">
        <v>2002</v>
      </c>
      <c r="B3" s="2">
        <v>59975880</v>
      </c>
      <c r="C3" s="2">
        <v>309726473.88</v>
      </c>
      <c r="D3">
        <f>7406+827+16145+7002</f>
        <v>31380</v>
      </c>
      <c r="E3">
        <v>100</v>
      </c>
    </row>
    <row r="4" spans="1:12" x14ac:dyDescent="0.3">
      <c r="A4">
        <v>2003</v>
      </c>
      <c r="B4" s="2">
        <v>59408089.109999999</v>
      </c>
      <c r="C4" s="2">
        <v>253450770.09999999</v>
      </c>
      <c r="D4">
        <f>7186+778+14508+5580</f>
        <v>28052</v>
      </c>
      <c r="E4">
        <v>100</v>
      </c>
    </row>
    <row r="5" spans="1:12" x14ac:dyDescent="0.3">
      <c r="A5">
        <v>2004</v>
      </c>
      <c r="B5" s="2">
        <v>86296138.920000002</v>
      </c>
      <c r="C5" s="2">
        <v>328438522.39999998</v>
      </c>
      <c r="E5">
        <v>100</v>
      </c>
    </row>
    <row r="6" spans="1:12" x14ac:dyDescent="0.3">
      <c r="A6">
        <v>2005</v>
      </c>
      <c r="B6" s="2">
        <v>95407480.659999996</v>
      </c>
      <c r="C6" s="2">
        <v>323409196.27999997</v>
      </c>
      <c r="E6">
        <v>100</v>
      </c>
    </row>
    <row r="7" spans="1:12" x14ac:dyDescent="0.3">
      <c r="A7">
        <v>2021</v>
      </c>
      <c r="C7" s="2">
        <v>284867518</v>
      </c>
      <c r="D7">
        <v>1169</v>
      </c>
      <c r="E7">
        <v>100</v>
      </c>
    </row>
    <row r="8" spans="1:12" x14ac:dyDescent="0.3">
      <c r="A8">
        <v>2023</v>
      </c>
      <c r="C8" s="2">
        <v>752272930</v>
      </c>
      <c r="D8" s="6">
        <v>1241</v>
      </c>
      <c r="E8">
        <v>100</v>
      </c>
    </row>
    <row r="9" spans="1:12" x14ac:dyDescent="0.3">
      <c r="C9" s="2">
        <f>AVERAGE(C3:C8)</f>
        <v>375360901.77666664</v>
      </c>
      <c r="D9" s="6">
        <f>AVERAGE(D2:D4,D7,D8)</f>
        <v>15477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3703A-1D43-4301-9B8D-81DCE762B21B}">
  <dimension ref="A1:C26"/>
  <sheetViews>
    <sheetView workbookViewId="0">
      <selection activeCell="A27" sqref="A27"/>
    </sheetView>
  </sheetViews>
  <sheetFormatPr defaultRowHeight="14.4" x14ac:dyDescent="0.3"/>
  <cols>
    <col min="1" max="1" width="11.21875" bestFit="1" customWidth="1"/>
    <col min="2" max="2" width="11.5546875" bestFit="1" customWidth="1"/>
    <col min="3" max="3" width="9.109375" bestFit="1" customWidth="1"/>
  </cols>
  <sheetData>
    <row r="1" spans="1:3" x14ac:dyDescent="0.3">
      <c r="A1" t="s">
        <v>0</v>
      </c>
      <c r="B1" t="s">
        <v>6</v>
      </c>
      <c r="C1" t="s">
        <v>23</v>
      </c>
    </row>
    <row r="2" spans="1:3" x14ac:dyDescent="0.3">
      <c r="A2">
        <v>2000</v>
      </c>
      <c r="B2">
        <v>146</v>
      </c>
    </row>
    <row r="3" spans="1:3" x14ac:dyDescent="0.3">
      <c r="A3">
        <v>2001</v>
      </c>
      <c r="B3">
        <v>141</v>
      </c>
    </row>
    <row r="4" spans="1:3" x14ac:dyDescent="0.3">
      <c r="A4">
        <v>2002</v>
      </c>
      <c r="B4">
        <v>285</v>
      </c>
    </row>
    <row r="5" spans="1:3" x14ac:dyDescent="0.3">
      <c r="A5">
        <v>2003</v>
      </c>
      <c r="B5">
        <v>170</v>
      </c>
    </row>
    <row r="6" spans="1:3" x14ac:dyDescent="0.3">
      <c r="A6">
        <v>2004</v>
      </c>
      <c r="B6">
        <v>124</v>
      </c>
    </row>
    <row r="7" spans="1:3" x14ac:dyDescent="0.3">
      <c r="A7">
        <v>2005</v>
      </c>
      <c r="B7">
        <v>124</v>
      </c>
    </row>
    <row r="8" spans="1:3" x14ac:dyDescent="0.3">
      <c r="A8">
        <v>2006</v>
      </c>
      <c r="B8">
        <v>118</v>
      </c>
      <c r="C8" s="5"/>
    </row>
    <row r="9" spans="1:3" x14ac:dyDescent="0.3">
      <c r="A9">
        <v>2007</v>
      </c>
      <c r="B9" s="6">
        <v>148</v>
      </c>
      <c r="C9" s="4"/>
    </row>
    <row r="10" spans="1:3" x14ac:dyDescent="0.3">
      <c r="A10">
        <v>2008</v>
      </c>
      <c r="B10" s="6">
        <v>223</v>
      </c>
    </row>
    <row r="11" spans="1:3" x14ac:dyDescent="0.3">
      <c r="A11">
        <v>2009</v>
      </c>
      <c r="B11">
        <v>194</v>
      </c>
    </row>
    <row r="12" spans="1:3" x14ac:dyDescent="0.3">
      <c r="A12">
        <v>2010</v>
      </c>
      <c r="B12">
        <v>167</v>
      </c>
    </row>
    <row r="13" spans="1:3" x14ac:dyDescent="0.3">
      <c r="A13">
        <v>2011</v>
      </c>
      <c r="B13">
        <v>113</v>
      </c>
    </row>
    <row r="14" spans="1:3" x14ac:dyDescent="0.3">
      <c r="A14">
        <v>2012</v>
      </c>
      <c r="B14">
        <f>107+2067</f>
        <v>2174</v>
      </c>
    </row>
    <row r="15" spans="1:3" x14ac:dyDescent="0.3">
      <c r="A15">
        <v>2013</v>
      </c>
      <c r="B15">
        <f>122+1859</f>
        <v>1981</v>
      </c>
    </row>
    <row r="16" spans="1:3" x14ac:dyDescent="0.3">
      <c r="A16">
        <v>2014</v>
      </c>
      <c r="B16">
        <f>106+674</f>
        <v>780</v>
      </c>
    </row>
    <row r="17" spans="1:2" x14ac:dyDescent="0.3">
      <c r="A17">
        <v>2015</v>
      </c>
      <c r="B17">
        <f>98+445</f>
        <v>543</v>
      </c>
    </row>
    <row r="18" spans="1:2" x14ac:dyDescent="0.3">
      <c r="A18">
        <v>2016</v>
      </c>
      <c r="B18">
        <f>201+182</f>
        <v>383</v>
      </c>
    </row>
    <row r="19" spans="1:2" x14ac:dyDescent="0.3">
      <c r="A19">
        <v>2017</v>
      </c>
      <c r="B19">
        <f>114+196</f>
        <v>310</v>
      </c>
    </row>
    <row r="20" spans="1:2" x14ac:dyDescent="0.3">
      <c r="A20">
        <v>2018</v>
      </c>
      <c r="B20">
        <f>143+576</f>
        <v>719</v>
      </c>
    </row>
    <row r="21" spans="1:2" x14ac:dyDescent="0.3">
      <c r="A21">
        <v>2019</v>
      </c>
      <c r="B21">
        <f>102+575</f>
        <v>677</v>
      </c>
    </row>
    <row r="22" spans="1:2" x14ac:dyDescent="0.3">
      <c r="A22">
        <v>2020</v>
      </c>
      <c r="B22">
        <f>242+771</f>
        <v>1013</v>
      </c>
    </row>
    <row r="23" spans="1:2" x14ac:dyDescent="0.3">
      <c r="A23">
        <v>2022</v>
      </c>
      <c r="B23">
        <v>4996</v>
      </c>
    </row>
    <row r="24" spans="1:2" x14ac:dyDescent="0.3">
      <c r="A24">
        <v>2023</v>
      </c>
      <c r="B24">
        <f>96+5987</f>
        <v>6083</v>
      </c>
    </row>
    <row r="25" spans="1:2" x14ac:dyDescent="0.3">
      <c r="A25">
        <v>2024</v>
      </c>
      <c r="B25">
        <f>119+8443</f>
        <v>8562</v>
      </c>
    </row>
    <row r="26" spans="1:2" x14ac:dyDescent="0.3">
      <c r="A26" t="s">
        <v>32</v>
      </c>
      <c r="B26">
        <f>AVERAGE(B2:B25)</f>
        <v>1257.25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61DEA-5508-48E8-8233-400FB8051FC6}">
  <dimension ref="A1:E7"/>
  <sheetViews>
    <sheetView workbookViewId="0">
      <selection activeCell="F15" sqref="F15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  <col min="4" max="4" width="11.5546875" bestFit="1" customWidth="1"/>
    <col min="5" max="5" width="9.109375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6</v>
      </c>
      <c r="E1" t="s">
        <v>23</v>
      </c>
    </row>
    <row r="2" spans="1:5" x14ac:dyDescent="0.3">
      <c r="A2">
        <v>2010</v>
      </c>
      <c r="B2" s="2">
        <v>10000000</v>
      </c>
      <c r="C2" s="2">
        <v>27464986</v>
      </c>
      <c r="D2">
        <v>13000</v>
      </c>
      <c r="E2">
        <v>6.36</v>
      </c>
    </row>
    <row r="3" spans="1:5" x14ac:dyDescent="0.3">
      <c r="A3">
        <v>2011</v>
      </c>
      <c r="B3" s="2">
        <v>16000000</v>
      </c>
      <c r="C3" s="2">
        <v>39850520</v>
      </c>
      <c r="D3">
        <v>25219</v>
      </c>
      <c r="E3">
        <v>7.31</v>
      </c>
    </row>
    <row r="4" spans="1:5" x14ac:dyDescent="0.3">
      <c r="A4">
        <v>2012</v>
      </c>
      <c r="B4" s="2">
        <v>16000000</v>
      </c>
      <c r="C4" s="2">
        <v>37613108.799999997</v>
      </c>
      <c r="D4">
        <v>11278</v>
      </c>
      <c r="E4">
        <v>5.84</v>
      </c>
    </row>
    <row r="5" spans="1:5" x14ac:dyDescent="0.3">
      <c r="A5">
        <v>2013</v>
      </c>
      <c r="B5" s="2">
        <v>16000000</v>
      </c>
      <c r="C5" s="2">
        <v>35164892.799999997</v>
      </c>
      <c r="D5">
        <v>1050</v>
      </c>
      <c r="E5">
        <v>7.23</v>
      </c>
    </row>
    <row r="6" spans="1:5" x14ac:dyDescent="0.3">
      <c r="A6">
        <v>2023</v>
      </c>
      <c r="B6" s="2">
        <v>50000000</v>
      </c>
      <c r="C6" s="2">
        <v>50000000</v>
      </c>
      <c r="D6">
        <v>13194</v>
      </c>
      <c r="E6" s="5">
        <v>16.12</v>
      </c>
    </row>
    <row r="7" spans="1:5" x14ac:dyDescent="0.3">
      <c r="C7" s="2">
        <f>AVERAGE(C2:C6)</f>
        <v>38018701.519999996</v>
      </c>
      <c r="D7" s="6">
        <f>AVERAGE(D2:D6)</f>
        <v>12748.2</v>
      </c>
      <c r="E7" s="4">
        <f>AVERAGE(E2:E6)</f>
        <v>8.5719999999999992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EE542-28AB-4505-B8BE-995C75C67E82}">
  <dimension ref="A1:C7"/>
  <sheetViews>
    <sheetView workbookViewId="0">
      <selection activeCell="C8" sqref="C8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2018</v>
      </c>
      <c r="B2" s="2">
        <v>25000000</v>
      </c>
      <c r="C2" s="2">
        <v>42703692.5</v>
      </c>
    </row>
    <row r="3" spans="1:3" x14ac:dyDescent="0.3">
      <c r="A3">
        <v>2019</v>
      </c>
      <c r="B3" s="2">
        <v>27800000</v>
      </c>
      <c r="C3" s="2">
        <v>43297176.719999999</v>
      </c>
    </row>
    <row r="4" spans="1:3" x14ac:dyDescent="0.3">
      <c r="A4">
        <v>2020</v>
      </c>
      <c r="B4" s="2">
        <v>20000000</v>
      </c>
      <c r="C4" s="2">
        <v>29959654</v>
      </c>
    </row>
    <row r="5" spans="1:3" x14ac:dyDescent="0.3">
      <c r="A5">
        <v>2021</v>
      </c>
      <c r="B5" s="2">
        <v>19000000</v>
      </c>
      <c r="C5" s="2">
        <v>22856895.5</v>
      </c>
    </row>
    <row r="6" spans="1:3" x14ac:dyDescent="0.3">
      <c r="A6">
        <v>2022</v>
      </c>
      <c r="B6" s="2">
        <v>23900000</v>
      </c>
      <c r="C6" s="2">
        <v>24389481.559999999</v>
      </c>
    </row>
    <row r="7" spans="1:3" x14ac:dyDescent="0.3">
      <c r="C7" s="2">
        <f>AVERAGE(C2:C6)</f>
        <v>32641380.056000002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52389-BED7-4AD2-824D-F6C1D20D4385}">
  <dimension ref="A1:D7"/>
  <sheetViews>
    <sheetView workbookViewId="0">
      <selection activeCell="F12" sqref="F12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4" x14ac:dyDescent="0.3">
      <c r="A1" t="s">
        <v>0</v>
      </c>
      <c r="B1" t="s">
        <v>7</v>
      </c>
      <c r="C1" t="s">
        <v>8</v>
      </c>
    </row>
    <row r="2" spans="1:4" x14ac:dyDescent="0.3">
      <c r="A2">
        <v>2009</v>
      </c>
      <c r="B2" s="2">
        <v>16435812.5</v>
      </c>
      <c r="C2" s="2">
        <v>45140936.020000003</v>
      </c>
    </row>
    <row r="3" spans="1:4" x14ac:dyDescent="0.3">
      <c r="A3">
        <v>2010</v>
      </c>
      <c r="B3" s="2">
        <v>16435812.5</v>
      </c>
      <c r="C3" s="2">
        <v>40935979.670000002</v>
      </c>
    </row>
    <row r="4" spans="1:4" x14ac:dyDescent="0.3">
      <c r="A4">
        <v>2011</v>
      </c>
      <c r="B4" s="2">
        <v>16435812.5</v>
      </c>
      <c r="C4" s="2">
        <v>38367625.240000002</v>
      </c>
    </row>
    <row r="5" spans="1:4" x14ac:dyDescent="0.3">
      <c r="A5">
        <v>2012</v>
      </c>
      <c r="B5" s="2">
        <v>16435812.5</v>
      </c>
      <c r="C5" s="2">
        <v>36122724.039999999</v>
      </c>
    </row>
    <row r="6" spans="1:4" x14ac:dyDescent="0.3">
      <c r="C6" s="2">
        <f>AVERAGE(C2:C5)</f>
        <v>40141816.2425</v>
      </c>
    </row>
    <row r="7" spans="1:4" x14ac:dyDescent="0.3">
      <c r="D7" t="s">
        <v>44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1434A-2773-4287-A814-F993929D6928}">
  <dimension ref="A1:E9"/>
  <sheetViews>
    <sheetView workbookViewId="0">
      <selection activeCell="C8" sqref="C8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5" x14ac:dyDescent="0.3">
      <c r="A1" t="s">
        <v>0</v>
      </c>
      <c r="B1" t="s">
        <v>7</v>
      </c>
      <c r="C1" t="s">
        <v>8</v>
      </c>
    </row>
    <row r="2" spans="1:5" x14ac:dyDescent="0.3">
      <c r="A2">
        <v>2004</v>
      </c>
      <c r="B2" s="2">
        <v>52000000</v>
      </c>
      <c r="C2" s="2">
        <v>176267920.40000001</v>
      </c>
    </row>
    <row r="3" spans="1:5" x14ac:dyDescent="0.3">
      <c r="A3">
        <v>2005</v>
      </c>
      <c r="B3" s="2">
        <v>12995346</v>
      </c>
      <c r="C3" s="2">
        <v>43203795.799999997</v>
      </c>
    </row>
    <row r="4" spans="1:5" x14ac:dyDescent="0.3">
      <c r="A4">
        <v>2009</v>
      </c>
      <c r="B4" s="2">
        <v>10000000</v>
      </c>
      <c r="C4" s="2">
        <v>27464986</v>
      </c>
    </row>
    <row r="5" spans="1:5" x14ac:dyDescent="0.3">
      <c r="A5">
        <v>2013</v>
      </c>
      <c r="B5" s="2">
        <v>16000000</v>
      </c>
      <c r="C5" s="2">
        <v>35164892.799999997</v>
      </c>
    </row>
    <row r="6" spans="1:5" x14ac:dyDescent="0.3">
      <c r="A6">
        <v>2014</v>
      </c>
      <c r="B6" s="2">
        <v>17000000</v>
      </c>
      <c r="C6" s="2">
        <v>35381841.600000001</v>
      </c>
    </row>
    <row r="7" spans="1:5" x14ac:dyDescent="0.3">
      <c r="C7" s="2">
        <f>AVERAGE(C2:C6)</f>
        <v>63496687.320000008</v>
      </c>
      <c r="E7" t="s">
        <v>41</v>
      </c>
    </row>
    <row r="8" spans="1:5" x14ac:dyDescent="0.3">
      <c r="E8" t="s">
        <v>42</v>
      </c>
    </row>
    <row r="9" spans="1:5" x14ac:dyDescent="0.3">
      <c r="E9" t="s">
        <v>43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AE2F6-F3F4-46EB-B70A-376E6983F41A}">
  <dimension ref="A1:E11"/>
  <sheetViews>
    <sheetView workbookViewId="0">
      <selection activeCell="F9" sqref="F9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  <col min="4" max="4" width="8.88671875" style="3"/>
  </cols>
  <sheetData>
    <row r="1" spans="1:5" x14ac:dyDescent="0.3">
      <c r="A1" t="s">
        <v>0</v>
      </c>
      <c r="B1" t="s">
        <v>7</v>
      </c>
      <c r="C1" t="s">
        <v>8</v>
      </c>
      <c r="D1" t="s">
        <v>23</v>
      </c>
    </row>
    <row r="2" spans="1:5" x14ac:dyDescent="0.3">
      <c r="A2">
        <v>1996</v>
      </c>
      <c r="B2" s="2">
        <v>1658678.06</v>
      </c>
      <c r="C2" s="2">
        <v>13762436.51</v>
      </c>
      <c r="D2" s="3">
        <v>4.7E-2</v>
      </c>
    </row>
    <row r="3" spans="1:5" x14ac:dyDescent="0.3">
      <c r="A3">
        <v>1997</v>
      </c>
      <c r="B3" s="2">
        <v>3732689.8</v>
      </c>
      <c r="C3" s="2">
        <v>28776157.469999999</v>
      </c>
      <c r="D3" s="3">
        <v>0.1</v>
      </c>
      <c r="E3">
        <v>15000</v>
      </c>
    </row>
    <row r="4" spans="1:5" x14ac:dyDescent="0.3">
      <c r="A4">
        <v>1998</v>
      </c>
      <c r="B4" s="2">
        <v>4752823.62</v>
      </c>
      <c r="C4" s="2">
        <v>35859530.93</v>
      </c>
      <c r="D4" s="3">
        <v>0.10639999999999999</v>
      </c>
      <c r="E4">
        <v>10000</v>
      </c>
    </row>
    <row r="5" spans="1:5" x14ac:dyDescent="0.3">
      <c r="A5">
        <v>1999</v>
      </c>
      <c r="B5" s="2">
        <v>5150328.4000000004</v>
      </c>
      <c r="C5" s="2">
        <v>32792152.25</v>
      </c>
      <c r="D5" s="3">
        <v>0.1</v>
      </c>
      <c r="E5">
        <v>10000</v>
      </c>
    </row>
    <row r="6" spans="1:5" x14ac:dyDescent="0.3">
      <c r="A6">
        <v>2000</v>
      </c>
      <c r="E6">
        <v>10000</v>
      </c>
    </row>
    <row r="7" spans="1:5" x14ac:dyDescent="0.3">
      <c r="A7">
        <v>2001</v>
      </c>
      <c r="E7">
        <v>10000</v>
      </c>
    </row>
    <row r="8" spans="1:5" x14ac:dyDescent="0.3">
      <c r="A8">
        <v>2002</v>
      </c>
      <c r="B8" s="2">
        <v>9500000</v>
      </c>
      <c r="C8" s="2">
        <v>40529536.5</v>
      </c>
      <c r="E8">
        <v>7000</v>
      </c>
    </row>
    <row r="9" spans="1:5" x14ac:dyDescent="0.3">
      <c r="A9">
        <v>2003</v>
      </c>
      <c r="E9">
        <v>7000</v>
      </c>
    </row>
    <row r="10" spans="1:5" x14ac:dyDescent="0.3">
      <c r="A10">
        <v>2004</v>
      </c>
      <c r="E10">
        <v>7000</v>
      </c>
    </row>
    <row r="11" spans="1:5" x14ac:dyDescent="0.3">
      <c r="A11" t="s">
        <v>32</v>
      </c>
      <c r="C11" s="2">
        <f>AVERAGE(C2:C8)</f>
        <v>30343962.732000001</v>
      </c>
      <c r="D11" s="3">
        <f>AVERAGE(D2:D5)</f>
        <v>8.8350000000000012E-2</v>
      </c>
      <c r="E11">
        <f>AVERAGE(E3:E10)</f>
        <v>9500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A5371-F8F2-4A40-98D7-707FF8EF4347}">
  <dimension ref="A1:C12"/>
  <sheetViews>
    <sheetView workbookViewId="0">
      <selection activeCell="C13" sqref="C13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2004</v>
      </c>
      <c r="B2" s="2">
        <v>3600000</v>
      </c>
      <c r="C2" s="2">
        <v>13701408.84</v>
      </c>
    </row>
    <row r="3" spans="1:3" x14ac:dyDescent="0.3">
      <c r="A3">
        <v>2005</v>
      </c>
      <c r="B3" s="2">
        <v>4800000</v>
      </c>
      <c r="C3" s="2">
        <v>16270884.960000001</v>
      </c>
    </row>
    <row r="4" spans="1:3" x14ac:dyDescent="0.3">
      <c r="A4">
        <v>2006</v>
      </c>
      <c r="B4" s="2">
        <v>5280000</v>
      </c>
      <c r="C4" s="2">
        <v>17553672.050000001</v>
      </c>
    </row>
    <row r="5" spans="1:3" x14ac:dyDescent="0.3">
      <c r="A5">
        <v>2007</v>
      </c>
      <c r="B5" s="2">
        <v>5760000</v>
      </c>
      <c r="C5" s="2">
        <v>18502595.710000001</v>
      </c>
    </row>
    <row r="6" spans="1:3" x14ac:dyDescent="0.3">
      <c r="A6">
        <v>2008</v>
      </c>
      <c r="B6" s="2">
        <v>6588000</v>
      </c>
      <c r="C6" s="2">
        <v>19922022.399999999</v>
      </c>
    </row>
    <row r="7" spans="1:3" x14ac:dyDescent="0.3">
      <c r="A7">
        <v>2009</v>
      </c>
      <c r="B7" s="2">
        <v>8119000</v>
      </c>
      <c r="C7" s="2">
        <v>21944078.670000002</v>
      </c>
    </row>
    <row r="8" spans="1:3" x14ac:dyDescent="0.3">
      <c r="A8">
        <v>2010</v>
      </c>
      <c r="B8" s="2">
        <v>9090000</v>
      </c>
      <c r="C8" s="2">
        <v>24965672.27</v>
      </c>
    </row>
    <row r="9" spans="1:3" x14ac:dyDescent="0.3">
      <c r="A9">
        <v>2011</v>
      </c>
      <c r="B9" s="2">
        <v>10500000</v>
      </c>
      <c r="C9" s="2">
        <v>26151903.75</v>
      </c>
    </row>
    <row r="10" spans="1:3" x14ac:dyDescent="0.3">
      <c r="A10">
        <v>2012</v>
      </c>
      <c r="B10" s="2">
        <v>11115000</v>
      </c>
      <c r="C10" s="2">
        <v>26129356.52</v>
      </c>
    </row>
    <row r="11" spans="1:3" x14ac:dyDescent="0.3">
      <c r="A11">
        <v>2013</v>
      </c>
      <c r="B11" s="2">
        <v>12420000</v>
      </c>
      <c r="C11" s="2">
        <v>27296748.039999999</v>
      </c>
    </row>
    <row r="12" spans="1:3" x14ac:dyDescent="0.3">
      <c r="C12" s="2">
        <f>AVERAGE(C2:C11)</f>
        <v>21243834.321000002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43C9C-6676-47DE-8DE1-A15521E70695}">
  <dimension ref="A1:D7"/>
  <sheetViews>
    <sheetView workbookViewId="0">
      <selection activeCell="C18" sqref="C18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39</v>
      </c>
    </row>
    <row r="2" spans="1:4" x14ac:dyDescent="0.3">
      <c r="A2">
        <v>2001</v>
      </c>
      <c r="B2" s="2">
        <v>1000000</v>
      </c>
      <c r="C2" s="2">
        <v>5164183.9000000004</v>
      </c>
      <c r="D2">
        <v>4500</v>
      </c>
    </row>
    <row r="3" spans="1:4" x14ac:dyDescent="0.3">
      <c r="A3">
        <v>2002</v>
      </c>
      <c r="B3" s="2">
        <v>1600000</v>
      </c>
      <c r="C3" s="2">
        <v>6826027.2000000002</v>
      </c>
      <c r="D3">
        <v>5800</v>
      </c>
    </row>
    <row r="4" spans="1:4" x14ac:dyDescent="0.3">
      <c r="A4">
        <v>2003</v>
      </c>
      <c r="B4" s="2">
        <v>1893550</v>
      </c>
      <c r="C4" s="2">
        <v>7206750.75</v>
      </c>
      <c r="D4">
        <v>6000</v>
      </c>
    </row>
    <row r="5" spans="1:4" x14ac:dyDescent="0.3">
      <c r="A5">
        <v>2004</v>
      </c>
      <c r="B5" s="2">
        <v>3069428</v>
      </c>
      <c r="C5" s="2">
        <v>10404647.890000001</v>
      </c>
      <c r="D5">
        <v>7200</v>
      </c>
    </row>
    <row r="6" spans="1:4" x14ac:dyDescent="0.3">
      <c r="A6">
        <v>2005</v>
      </c>
      <c r="B6" s="2">
        <v>3389069</v>
      </c>
      <c r="C6" s="2">
        <v>11267160.18</v>
      </c>
      <c r="D6">
        <v>8000</v>
      </c>
    </row>
    <row r="7" spans="1:4" x14ac:dyDescent="0.3">
      <c r="A7" t="s">
        <v>31</v>
      </c>
      <c r="C7" s="2">
        <f>AVERAGE(C2:C6)</f>
        <v>8173753.9840000002</v>
      </c>
      <c r="D7">
        <f>AVERAGE(D2:D6)</f>
        <v>6300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2489B-17BC-4CE0-9EBC-DBF5324A30B8}">
  <dimension ref="A1:C7"/>
  <sheetViews>
    <sheetView workbookViewId="0">
      <selection activeCell="C8" sqref="C8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2005</v>
      </c>
      <c r="B2" s="2">
        <v>28000000</v>
      </c>
      <c r="C2" s="2">
        <v>93087654.799999997</v>
      </c>
    </row>
    <row r="3" spans="1:3" x14ac:dyDescent="0.3">
      <c r="A3">
        <v>2006</v>
      </c>
      <c r="B3" s="2">
        <v>14000000</v>
      </c>
      <c r="C3" s="2">
        <v>44971586.799999997</v>
      </c>
    </row>
    <row r="4" spans="1:3" x14ac:dyDescent="0.3">
      <c r="A4">
        <v>2007</v>
      </c>
      <c r="B4" s="2">
        <v>14000000</v>
      </c>
      <c r="C4" s="2">
        <v>42335809.600000001</v>
      </c>
    </row>
    <row r="5" spans="1:3" x14ac:dyDescent="0.3">
      <c r="A5">
        <v>2008</v>
      </c>
      <c r="B5" s="2">
        <v>12000000</v>
      </c>
      <c r="C5" s="2">
        <v>32433667.199999999</v>
      </c>
    </row>
    <row r="6" spans="1:3" x14ac:dyDescent="0.3">
      <c r="A6">
        <v>2011</v>
      </c>
      <c r="B6" s="2">
        <v>16000000</v>
      </c>
      <c r="C6" s="2">
        <v>37613108.799999997</v>
      </c>
    </row>
    <row r="7" spans="1:3" x14ac:dyDescent="0.3">
      <c r="C7" s="2">
        <f>AVERAGE(C2:C6)</f>
        <v>50088365.439999998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8126B-6306-4D52-83EE-6A6CF2CA5825}">
  <dimension ref="A1:C6"/>
  <sheetViews>
    <sheetView workbookViewId="0">
      <selection activeCell="C7" sqref="C7"/>
    </sheetView>
  </sheetViews>
  <sheetFormatPr defaultRowHeight="14.4" x14ac:dyDescent="0.3"/>
  <cols>
    <col min="1" max="1" width="11.21875" bestFit="1" customWidth="1"/>
    <col min="2" max="2" width="15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2001</v>
      </c>
      <c r="B2" s="2">
        <v>2560108</v>
      </c>
      <c r="C2" s="2">
        <v>13220868.52</v>
      </c>
    </row>
    <row r="3" spans="1:3" x14ac:dyDescent="0.3">
      <c r="A3">
        <v>2002</v>
      </c>
      <c r="B3" s="2">
        <v>3611281</v>
      </c>
      <c r="C3" s="2">
        <v>15406688.960000001</v>
      </c>
    </row>
    <row r="4" spans="1:3" x14ac:dyDescent="0.3">
      <c r="A4">
        <v>2003</v>
      </c>
      <c r="B4" s="2">
        <v>5000000</v>
      </c>
      <c r="C4" s="2">
        <v>19029734.5</v>
      </c>
    </row>
    <row r="5" spans="1:3" x14ac:dyDescent="0.3">
      <c r="A5">
        <v>2004</v>
      </c>
      <c r="B5" s="2">
        <v>6000000</v>
      </c>
      <c r="C5" s="2">
        <v>20338606.199999999</v>
      </c>
    </row>
    <row r="6" spans="1:3" x14ac:dyDescent="0.3">
      <c r="C6" s="2">
        <f>AVERAGE(C2:C5)</f>
        <v>16998974.545000002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7EA68-EAD7-483A-A15A-9CD416149F82}">
  <dimension ref="A1:D10"/>
  <sheetViews>
    <sheetView workbookViewId="0">
      <selection activeCell="D8" sqref="D8"/>
    </sheetView>
  </sheetViews>
  <sheetFormatPr defaultRowHeight="14.4" x14ac:dyDescent="0.3"/>
  <cols>
    <col min="1" max="1" width="11.21875" bestFit="1" customWidth="1"/>
    <col min="2" max="2" width="14.21875" style="2" bestFit="1" customWidth="1"/>
    <col min="3" max="3" width="18.33203125" style="2" bestFit="1" customWidth="1"/>
  </cols>
  <sheetData>
    <row r="1" spans="1:4" x14ac:dyDescent="0.3">
      <c r="A1" t="s">
        <v>0</v>
      </c>
      <c r="B1" t="s">
        <v>7</v>
      </c>
      <c r="C1" t="s">
        <v>8</v>
      </c>
    </row>
    <row r="2" spans="1:4" x14ac:dyDescent="0.3">
      <c r="A2">
        <v>2007</v>
      </c>
      <c r="B2" s="2">
        <v>2597514.44</v>
      </c>
      <c r="C2" s="2">
        <v>7854848.3399999999</v>
      </c>
      <c r="D2" s="3"/>
    </row>
    <row r="3" spans="1:4" x14ac:dyDescent="0.3">
      <c r="A3">
        <v>2011</v>
      </c>
      <c r="B3" s="2">
        <v>3000000</v>
      </c>
      <c r="C3" s="2">
        <v>7471972.5</v>
      </c>
      <c r="D3" s="3"/>
    </row>
    <row r="4" spans="1:4" x14ac:dyDescent="0.3">
      <c r="D4" s="3"/>
    </row>
    <row r="5" spans="1:4" x14ac:dyDescent="0.3">
      <c r="D5" s="3" t="s">
        <v>45</v>
      </c>
    </row>
    <row r="6" spans="1:4" x14ac:dyDescent="0.3">
      <c r="D6" s="3" t="s">
        <v>46</v>
      </c>
    </row>
    <row r="7" spans="1:4" x14ac:dyDescent="0.3">
      <c r="D7" s="3" t="s">
        <v>47</v>
      </c>
    </row>
    <row r="8" spans="1:4" x14ac:dyDescent="0.3">
      <c r="D8" s="3"/>
    </row>
    <row r="9" spans="1:4" x14ac:dyDescent="0.3">
      <c r="D9" s="3"/>
    </row>
    <row r="10" spans="1:4" x14ac:dyDescent="0.3">
      <c r="D10" s="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C5C1D-F96A-4D3B-838C-C06587D1C543}">
  <dimension ref="A1:D10"/>
  <sheetViews>
    <sheetView workbookViewId="0">
      <selection activeCell="C15" sqref="C15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2</v>
      </c>
    </row>
    <row r="2" spans="1:4" x14ac:dyDescent="0.3">
      <c r="A2">
        <v>2006</v>
      </c>
      <c r="B2" s="1">
        <v>40000000</v>
      </c>
      <c r="C2" s="2">
        <v>132982364</v>
      </c>
      <c r="D2" s="3">
        <v>0.1</v>
      </c>
    </row>
    <row r="3" spans="1:4" x14ac:dyDescent="0.3">
      <c r="A3">
        <v>2007</v>
      </c>
      <c r="B3" s="1">
        <v>210000000</v>
      </c>
      <c r="C3" s="2">
        <v>674573802</v>
      </c>
      <c r="D3" s="3">
        <v>0.38879999999999998</v>
      </c>
    </row>
    <row r="4" spans="1:4" x14ac:dyDescent="0.3">
      <c r="A4">
        <v>2008</v>
      </c>
      <c r="B4" s="1">
        <v>290000000</v>
      </c>
      <c r="C4" s="2">
        <v>876956056</v>
      </c>
      <c r="D4" s="3">
        <v>0.43280000000000002</v>
      </c>
    </row>
    <row r="5" spans="1:4" x14ac:dyDescent="0.3">
      <c r="A5">
        <v>2009</v>
      </c>
      <c r="B5" s="1">
        <v>215000000</v>
      </c>
      <c r="C5" s="2">
        <v>581103204</v>
      </c>
      <c r="D5" s="3">
        <v>0.29449999999999998</v>
      </c>
    </row>
    <row r="6" spans="1:4" x14ac:dyDescent="0.3">
      <c r="A6">
        <v>2010</v>
      </c>
      <c r="B6" s="1">
        <v>210000000</v>
      </c>
      <c r="C6" s="2">
        <v>576764706</v>
      </c>
      <c r="D6" s="3">
        <v>0.2414</v>
      </c>
    </row>
    <row r="7" spans="1:4" x14ac:dyDescent="0.3">
      <c r="A7">
        <v>2011</v>
      </c>
      <c r="B7" s="1">
        <v>270000000</v>
      </c>
      <c r="C7" s="2">
        <v>672477525</v>
      </c>
      <c r="D7" s="3">
        <v>0.30330000000000001</v>
      </c>
    </row>
    <row r="8" spans="1:4" x14ac:dyDescent="0.3">
      <c r="A8">
        <v>2012</v>
      </c>
      <c r="B8" s="1">
        <v>190000000</v>
      </c>
      <c r="C8" s="2">
        <v>446655667</v>
      </c>
      <c r="D8" s="3">
        <v>0.2</v>
      </c>
    </row>
    <row r="9" spans="1:4" x14ac:dyDescent="0.3">
      <c r="A9">
        <v>2013</v>
      </c>
      <c r="B9" s="1">
        <v>140000000</v>
      </c>
      <c r="C9" s="2">
        <v>307692812</v>
      </c>
      <c r="D9" s="3">
        <v>0.1489</v>
      </c>
    </row>
    <row r="10" spans="1:4" x14ac:dyDescent="0.3">
      <c r="A10" t="s">
        <v>31</v>
      </c>
      <c r="B10" s="1">
        <f>AVERAGE(B2:B9)</f>
        <v>195625000</v>
      </c>
      <c r="C10" s="2">
        <f>AVERAGE(C2:C9)</f>
        <v>533650767</v>
      </c>
      <c r="D10" s="3">
        <f>AVERAGE(D2:D9)</f>
        <v>0.26371250000000002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EB152-7DBC-4C69-A0D5-0C36612E056B}">
  <dimension ref="A1:C10"/>
  <sheetViews>
    <sheetView workbookViewId="0">
      <selection activeCell="C11" sqref="C11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2009</v>
      </c>
      <c r="B2" s="2">
        <v>1700000</v>
      </c>
      <c r="C2" s="2">
        <v>4594769.5199999996</v>
      </c>
    </row>
    <row r="3" spans="1:3" x14ac:dyDescent="0.3">
      <c r="A3">
        <v>2010</v>
      </c>
      <c r="B3" s="2">
        <v>1750000</v>
      </c>
      <c r="C3" s="2">
        <v>4806372.55</v>
      </c>
    </row>
    <row r="4" spans="1:3" x14ac:dyDescent="0.3">
      <c r="A4">
        <v>2011</v>
      </c>
      <c r="B4" s="2">
        <v>1800000</v>
      </c>
      <c r="C4" s="2">
        <v>4483183.5</v>
      </c>
    </row>
    <row r="5" spans="1:3" x14ac:dyDescent="0.3">
      <c r="A5">
        <v>2012</v>
      </c>
      <c r="B5" s="2">
        <v>1850000</v>
      </c>
      <c r="C5" s="2">
        <v>4349015.7</v>
      </c>
    </row>
    <row r="6" spans="1:3" x14ac:dyDescent="0.3">
      <c r="A6">
        <v>2013</v>
      </c>
      <c r="B6" s="2">
        <v>1860000</v>
      </c>
      <c r="C6" s="2">
        <v>4087918.79</v>
      </c>
    </row>
    <row r="7" spans="1:3" x14ac:dyDescent="0.3">
      <c r="A7">
        <v>2014</v>
      </c>
      <c r="B7" s="2">
        <v>1900000</v>
      </c>
      <c r="C7" s="2">
        <v>3954441.12</v>
      </c>
    </row>
    <row r="8" spans="1:3" x14ac:dyDescent="0.3">
      <c r="A8">
        <v>2015</v>
      </c>
      <c r="B8" s="2">
        <v>2000000</v>
      </c>
      <c r="C8" s="2">
        <v>4015498.4</v>
      </c>
    </row>
    <row r="9" spans="1:3" x14ac:dyDescent="0.3">
      <c r="A9">
        <v>2016</v>
      </c>
      <c r="B9" s="2">
        <v>2100000</v>
      </c>
      <c r="C9" s="2">
        <v>3809223.81</v>
      </c>
    </row>
    <row r="10" spans="1:3" x14ac:dyDescent="0.3">
      <c r="C10" s="2">
        <f>AVERAGE(C2:C9)</f>
        <v>4262552.9237500001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0E0B2-A34B-4038-B4AA-D7209860FDCC}">
  <dimension ref="A1:C7"/>
  <sheetViews>
    <sheetView workbookViewId="0">
      <selection activeCell="K20" sqref="K20"/>
    </sheetView>
  </sheetViews>
  <sheetFormatPr defaultRowHeight="14.4" x14ac:dyDescent="0.3"/>
  <cols>
    <col min="2" max="2" width="16.21875" style="2" bestFit="1" customWidth="1"/>
    <col min="3" max="3" width="11.21875" bestFit="1" customWidth="1"/>
  </cols>
  <sheetData>
    <row r="1" spans="1:3" x14ac:dyDescent="0.3">
      <c r="A1" t="s">
        <v>0</v>
      </c>
      <c r="B1" t="s">
        <v>1</v>
      </c>
      <c r="C1" t="s">
        <v>6</v>
      </c>
    </row>
    <row r="2" spans="1:3" x14ac:dyDescent="0.3">
      <c r="A2">
        <v>1994</v>
      </c>
      <c r="B2" s="2">
        <v>104533612</v>
      </c>
    </row>
    <row r="3" spans="1:3" x14ac:dyDescent="0.3">
      <c r="A3">
        <v>1995</v>
      </c>
      <c r="B3" s="2">
        <v>108706795.2</v>
      </c>
    </row>
    <row r="4" spans="1:3" x14ac:dyDescent="0.3">
      <c r="A4">
        <v>2001</v>
      </c>
      <c r="B4" s="2">
        <v>233263477.53</v>
      </c>
      <c r="C4">
        <v>16002</v>
      </c>
    </row>
    <row r="5" spans="1:3" x14ac:dyDescent="0.3">
      <c r="A5">
        <v>2002</v>
      </c>
      <c r="B5" s="2">
        <v>216480839.93000001</v>
      </c>
      <c r="C5">
        <v>42110</v>
      </c>
    </row>
    <row r="6" spans="1:3" x14ac:dyDescent="0.3">
      <c r="A6">
        <v>2003</v>
      </c>
    </row>
    <row r="7" spans="1:3" x14ac:dyDescent="0.3">
      <c r="A7">
        <v>2004</v>
      </c>
      <c r="C7">
        <v>5174</v>
      </c>
    </row>
  </sheetData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905E0-57BC-436E-94EC-76D5F2907D35}">
  <dimension ref="A1:F22"/>
  <sheetViews>
    <sheetView workbookViewId="0">
      <selection activeCell="H22" sqref="H22"/>
    </sheetView>
  </sheetViews>
  <sheetFormatPr defaultRowHeight="14.4" x14ac:dyDescent="0.3"/>
  <cols>
    <col min="2" max="2" width="16.21875" bestFit="1" customWidth="1"/>
    <col min="3" max="3" width="16.21875" customWidth="1"/>
    <col min="4" max="4" width="18.33203125" bestFit="1" customWidth="1"/>
  </cols>
  <sheetData>
    <row r="1" spans="1:6" x14ac:dyDescent="0.3">
      <c r="A1" t="s">
        <v>0</v>
      </c>
      <c r="B1" t="s">
        <v>50</v>
      </c>
      <c r="C1" t="s">
        <v>51</v>
      </c>
      <c r="D1" t="s">
        <v>8</v>
      </c>
      <c r="E1" t="s">
        <v>2</v>
      </c>
      <c r="F1" t="s">
        <v>39</v>
      </c>
    </row>
    <row r="2" spans="1:6" x14ac:dyDescent="0.3">
      <c r="A2">
        <v>1997</v>
      </c>
      <c r="B2" s="2" t="s">
        <v>49</v>
      </c>
      <c r="C2" s="2"/>
      <c r="D2" s="2"/>
      <c r="E2" s="3">
        <v>0.32500000000000001</v>
      </c>
      <c r="F2">
        <v>15415</v>
      </c>
    </row>
    <row r="3" spans="1:6" x14ac:dyDescent="0.3">
      <c r="A3">
        <v>1998</v>
      </c>
      <c r="B3" s="2" t="s">
        <v>49</v>
      </c>
      <c r="C3" s="2"/>
      <c r="D3" s="2"/>
      <c r="E3" s="3">
        <v>0.32500000000000001</v>
      </c>
      <c r="F3">
        <v>11536</v>
      </c>
    </row>
    <row r="4" spans="1:6" x14ac:dyDescent="0.3">
      <c r="A4">
        <v>1999</v>
      </c>
      <c r="B4" s="2" t="s">
        <v>49</v>
      </c>
      <c r="C4" s="2"/>
      <c r="D4" s="2"/>
      <c r="E4" s="3">
        <v>0.32500000000000001</v>
      </c>
      <c r="F4">
        <v>20113</v>
      </c>
    </row>
    <row r="5" spans="1:6" x14ac:dyDescent="0.3">
      <c r="A5">
        <v>2000</v>
      </c>
      <c r="B5" s="2" t="s">
        <v>49</v>
      </c>
      <c r="C5" s="2"/>
      <c r="D5" s="2"/>
      <c r="E5" s="3">
        <v>0.33500000000000002</v>
      </c>
      <c r="F5">
        <v>25000</v>
      </c>
    </row>
    <row r="6" spans="1:6" x14ac:dyDescent="0.3">
      <c r="A6">
        <v>2001</v>
      </c>
      <c r="B6" s="2" t="s">
        <v>49</v>
      </c>
      <c r="C6" s="2"/>
      <c r="D6" s="2"/>
      <c r="E6" s="3">
        <v>0.33500000000000002</v>
      </c>
      <c r="F6">
        <v>14000</v>
      </c>
    </row>
    <row r="7" spans="1:6" x14ac:dyDescent="0.3">
      <c r="A7">
        <v>2002</v>
      </c>
      <c r="B7" s="2" t="s">
        <v>49</v>
      </c>
      <c r="C7" s="2"/>
      <c r="D7" s="2"/>
      <c r="E7" s="3">
        <v>0.33500000000000002</v>
      </c>
      <c r="F7">
        <v>14000</v>
      </c>
    </row>
    <row r="8" spans="1:6" x14ac:dyDescent="0.3">
      <c r="A8">
        <v>2003</v>
      </c>
      <c r="B8" s="2" t="s">
        <v>49</v>
      </c>
      <c r="C8" s="2"/>
      <c r="D8" s="2"/>
      <c r="E8" s="3">
        <v>0.33500000000000002</v>
      </c>
      <c r="F8">
        <v>14000</v>
      </c>
    </row>
    <row r="9" spans="1:6" x14ac:dyDescent="0.3">
      <c r="A9">
        <v>2004</v>
      </c>
      <c r="B9" s="2" t="s">
        <v>49</v>
      </c>
      <c r="C9" s="2"/>
      <c r="D9" s="2"/>
      <c r="E9" s="3">
        <v>0.33500000000000002</v>
      </c>
      <c r="F9">
        <v>11000</v>
      </c>
    </row>
    <row r="10" spans="1:6" x14ac:dyDescent="0.3">
      <c r="A10">
        <v>2005</v>
      </c>
      <c r="B10" s="2" t="s">
        <v>49</v>
      </c>
      <c r="C10" s="2"/>
      <c r="D10" s="2"/>
      <c r="E10" s="3">
        <v>0.33500000000000002</v>
      </c>
      <c r="F10">
        <v>9914</v>
      </c>
    </row>
    <row r="11" spans="1:6" x14ac:dyDescent="0.3">
      <c r="A11">
        <v>2006</v>
      </c>
      <c r="B11" s="2" t="s">
        <v>49</v>
      </c>
      <c r="C11" s="2"/>
      <c r="D11" s="2"/>
      <c r="E11" s="3">
        <v>0.33500000000000002</v>
      </c>
      <c r="F11">
        <v>10328</v>
      </c>
    </row>
    <row r="12" spans="1:6" x14ac:dyDescent="0.3">
      <c r="A12">
        <v>2007</v>
      </c>
      <c r="B12" s="2">
        <v>29980132.219999999</v>
      </c>
      <c r="C12" s="2">
        <f>B12*E12</f>
        <v>10043344.2937</v>
      </c>
      <c r="D12" s="2">
        <v>32261794.960000001</v>
      </c>
      <c r="E12" s="3">
        <v>0.33500000000000002</v>
      </c>
      <c r="F12">
        <v>8470</v>
      </c>
    </row>
    <row r="13" spans="1:6" x14ac:dyDescent="0.3">
      <c r="A13">
        <v>2008</v>
      </c>
      <c r="B13" s="2">
        <v>101174262.78</v>
      </c>
      <c r="C13" s="2">
        <f>B13*E13</f>
        <v>33893378.031300001</v>
      </c>
      <c r="D13" s="2">
        <v>102493114.20999999</v>
      </c>
      <c r="E13" s="3">
        <v>0.33500000000000002</v>
      </c>
      <c r="F13">
        <v>5240</v>
      </c>
    </row>
    <row r="14" spans="1:6" x14ac:dyDescent="0.3">
      <c r="A14">
        <v>2009</v>
      </c>
      <c r="B14" s="2">
        <v>30912442.32</v>
      </c>
      <c r="C14" s="2">
        <f>B14*E14</f>
        <v>10664792.600399999</v>
      </c>
      <c r="D14" s="2">
        <v>28824861.16</v>
      </c>
      <c r="E14" s="3">
        <v>0.34499999999999997</v>
      </c>
      <c r="F14">
        <v>4281</v>
      </c>
    </row>
    <row r="15" spans="1:6" x14ac:dyDescent="0.3">
      <c r="A15">
        <v>2010</v>
      </c>
      <c r="B15" s="2">
        <v>38837797.710000001</v>
      </c>
      <c r="C15" s="2">
        <f>B15*E15</f>
        <v>13399040.20995</v>
      </c>
      <c r="D15" s="2">
        <v>36800445.18</v>
      </c>
      <c r="E15" s="3">
        <v>0.34499999999999997</v>
      </c>
      <c r="F15">
        <v>3906</v>
      </c>
    </row>
    <row r="16" spans="1:6" x14ac:dyDescent="0.3">
      <c r="A16">
        <v>2011</v>
      </c>
      <c r="B16" s="2">
        <v>40445448.450000003</v>
      </c>
      <c r="C16" s="2">
        <f>B16*E16</f>
        <v>13953679.71525</v>
      </c>
      <c r="D16" s="2">
        <v>34753837.049999997</v>
      </c>
      <c r="E16" s="3">
        <v>0.34499999999999997</v>
      </c>
      <c r="F16">
        <v>5557</v>
      </c>
    </row>
    <row r="17" spans="2:4" x14ac:dyDescent="0.3">
      <c r="B17" s="4"/>
      <c r="C17" s="4"/>
      <c r="D17" s="2">
        <f>AVERAGE(D12:D16)</f>
        <v>47026810.512000002</v>
      </c>
    </row>
    <row r="18" spans="2:4" x14ac:dyDescent="0.3">
      <c r="B18" s="4"/>
      <c r="C18" s="4"/>
      <c r="D18" s="2"/>
    </row>
    <row r="19" spans="2:4" x14ac:dyDescent="0.3">
      <c r="B19" s="4"/>
      <c r="C19" s="4"/>
      <c r="D19" s="2"/>
    </row>
    <row r="20" spans="2:4" x14ac:dyDescent="0.3">
      <c r="B20" s="4"/>
      <c r="C20" s="4"/>
      <c r="D20" s="2"/>
    </row>
    <row r="21" spans="2:4" x14ac:dyDescent="0.3">
      <c r="B21" s="4"/>
      <c r="C21" s="4"/>
      <c r="D21" s="2"/>
    </row>
    <row r="22" spans="2:4" x14ac:dyDescent="0.3">
      <c r="B22" s="4"/>
      <c r="C22" s="4"/>
      <c r="D22" s="2"/>
    </row>
  </sheetData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C8872-FB6F-4301-983D-BE7A48E68BDF}">
  <dimension ref="A1:D23"/>
  <sheetViews>
    <sheetView workbookViewId="0">
      <selection activeCell="D24" sqref="D24"/>
    </sheetView>
  </sheetViews>
  <sheetFormatPr defaultRowHeight="14.4" x14ac:dyDescent="0.3"/>
  <cols>
    <col min="2" max="2" width="13.77734375" bestFit="1" customWidth="1"/>
    <col min="3" max="3" width="18.33203125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2</v>
      </c>
    </row>
    <row r="2" spans="1:4" x14ac:dyDescent="0.3">
      <c r="A2">
        <v>1990</v>
      </c>
      <c r="B2" s="4">
        <v>33000000</v>
      </c>
      <c r="C2" s="2">
        <v>41210423.530000001</v>
      </c>
      <c r="D2" s="3">
        <v>1.4999999999999999E-2</v>
      </c>
    </row>
    <row r="3" spans="1:4" x14ac:dyDescent="0.3">
      <c r="A3">
        <v>1991</v>
      </c>
      <c r="B3" s="4">
        <v>910157949</v>
      </c>
      <c r="C3" s="2">
        <v>63155425.609999999</v>
      </c>
      <c r="D3" s="3">
        <v>1.4999999999999999E-2</v>
      </c>
    </row>
    <row r="4" spans="1:4" x14ac:dyDescent="0.3">
      <c r="A4">
        <v>1992</v>
      </c>
      <c r="B4" s="4">
        <v>774227344</v>
      </c>
      <c r="C4" s="2">
        <v>9621385.9700000007</v>
      </c>
      <c r="D4" s="3">
        <v>1.4999999999999999E-2</v>
      </c>
    </row>
    <row r="5" spans="1:4" x14ac:dyDescent="0.3">
      <c r="A5">
        <v>1993</v>
      </c>
      <c r="B5" s="4">
        <v>820124480</v>
      </c>
      <c r="C5" s="2">
        <v>799683.3</v>
      </c>
      <c r="D5" s="3">
        <v>2E-3</v>
      </c>
    </row>
    <row r="6" spans="1:4" x14ac:dyDescent="0.3">
      <c r="A6">
        <v>1994</v>
      </c>
      <c r="B6" s="4">
        <v>83028492</v>
      </c>
      <c r="C6" s="2">
        <v>3035062.6</v>
      </c>
      <c r="D6" s="3">
        <v>1.6E-2</v>
      </c>
    </row>
    <row r="7" spans="1:4" x14ac:dyDescent="0.3">
      <c r="A7">
        <v>1995</v>
      </c>
      <c r="B7" s="4">
        <v>1840062</v>
      </c>
      <c r="C7" s="2">
        <v>19074259.149999999</v>
      </c>
      <c r="D7" s="3">
        <v>1.32E-2</v>
      </c>
    </row>
    <row r="8" spans="1:4" x14ac:dyDescent="0.3">
      <c r="A8">
        <v>1996</v>
      </c>
      <c r="B8" s="4">
        <v>1910886</v>
      </c>
      <c r="C8" s="2">
        <v>17187789.359999999</v>
      </c>
      <c r="D8" s="3">
        <v>7.1999999999999998E-3</v>
      </c>
    </row>
    <row r="9" spans="1:4" x14ac:dyDescent="0.3">
      <c r="A9">
        <v>1997</v>
      </c>
      <c r="B9" s="4">
        <v>1950771</v>
      </c>
      <c r="C9" s="2">
        <v>16068337.449999999</v>
      </c>
      <c r="D9" s="3">
        <v>0.01</v>
      </c>
    </row>
    <row r="10" spans="1:4" x14ac:dyDescent="0.3">
      <c r="A10">
        <v>1998</v>
      </c>
      <c r="B10" s="4">
        <v>2012938</v>
      </c>
      <c r="C10" s="2">
        <v>15388893.300000001</v>
      </c>
      <c r="D10" s="3">
        <v>1.18E-2</v>
      </c>
    </row>
    <row r="11" spans="1:4" x14ac:dyDescent="0.3">
      <c r="A11">
        <v>1999</v>
      </c>
      <c r="B11" s="4">
        <v>2015627</v>
      </c>
      <c r="C11" s="2">
        <v>15139691.050000001</v>
      </c>
      <c r="D11" s="3">
        <v>1.11E-2</v>
      </c>
    </row>
    <row r="12" spans="1:4" x14ac:dyDescent="0.3">
      <c r="A12">
        <v>2000</v>
      </c>
      <c r="B12" s="4">
        <v>2048449</v>
      </c>
      <c r="C12" s="2">
        <v>12811067.439999999</v>
      </c>
      <c r="D12" s="3">
        <v>0.01</v>
      </c>
    </row>
    <row r="13" spans="1:4" x14ac:dyDescent="0.3">
      <c r="A13">
        <v>2001</v>
      </c>
      <c r="B13" s="4">
        <v>3121115</v>
      </c>
      <c r="C13" s="2">
        <v>17752472.030000001</v>
      </c>
      <c r="D13" s="3">
        <v>1.6E-2</v>
      </c>
    </row>
    <row r="14" spans="1:4" x14ac:dyDescent="0.3">
      <c r="A14">
        <v>2002</v>
      </c>
      <c r="B14" s="4">
        <v>3068646</v>
      </c>
      <c r="C14" s="2">
        <v>15812009.560000001</v>
      </c>
      <c r="D14" s="3">
        <v>1.4999999999999999E-2</v>
      </c>
    </row>
    <row r="15" spans="1:4" x14ac:dyDescent="0.3">
      <c r="A15">
        <v>2003</v>
      </c>
      <c r="B15" s="4">
        <v>3598455</v>
      </c>
      <c r="C15" s="2">
        <v>14797270.859999999</v>
      </c>
      <c r="D15" s="3">
        <v>1.29E-2</v>
      </c>
    </row>
    <row r="16" spans="1:4" x14ac:dyDescent="0.3">
      <c r="A16">
        <v>2004</v>
      </c>
      <c r="B16" s="4">
        <v>3764874</v>
      </c>
      <c r="C16" s="2">
        <v>14241415.23</v>
      </c>
      <c r="D16" s="3">
        <v>1.32E-2</v>
      </c>
    </row>
    <row r="17" spans="1:4" x14ac:dyDescent="0.3">
      <c r="A17">
        <v>2005</v>
      </c>
      <c r="B17" s="4">
        <v>699453.26</v>
      </c>
      <c r="C17" s="2">
        <v>2353671.13</v>
      </c>
      <c r="D17" s="3">
        <v>2.3E-3</v>
      </c>
    </row>
    <row r="18" spans="1:4" x14ac:dyDescent="0.3">
      <c r="A18">
        <v>2006</v>
      </c>
      <c r="B18" s="4">
        <v>678881.42</v>
      </c>
      <c r="C18" s="2">
        <v>2257163.2799999998</v>
      </c>
      <c r="D18" s="3">
        <v>1.8E-3</v>
      </c>
    </row>
    <row r="19" spans="1:4" x14ac:dyDescent="0.3">
      <c r="A19">
        <v>2007</v>
      </c>
      <c r="B19" s="4">
        <v>4452053.03</v>
      </c>
      <c r="C19" s="2">
        <v>14256074.380000001</v>
      </c>
      <c r="D19" s="3">
        <v>1.11E-2</v>
      </c>
    </row>
    <row r="20" spans="1:4" x14ac:dyDescent="0.3">
      <c r="A20">
        <v>2008</v>
      </c>
      <c r="B20" s="4">
        <v>1961534.37</v>
      </c>
      <c r="C20" s="2">
        <v>5829087.7599999998</v>
      </c>
      <c r="D20" s="3">
        <v>4.1000000000000003E-3</v>
      </c>
    </row>
    <row r="21" spans="1:4" x14ac:dyDescent="0.3">
      <c r="A21">
        <v>2010</v>
      </c>
      <c r="B21" s="4">
        <v>6721804.2300000004</v>
      </c>
      <c r="C21" s="2">
        <v>18509301.960000001</v>
      </c>
      <c r="D21" s="3">
        <v>9.7999999999999997E-3</v>
      </c>
    </row>
    <row r="22" spans="1:4" x14ac:dyDescent="0.3">
      <c r="A22">
        <v>2013</v>
      </c>
      <c r="B22" s="4">
        <v>11202515</v>
      </c>
      <c r="C22" s="2">
        <v>24454143.629999999</v>
      </c>
      <c r="D22" s="3">
        <v>1.72E-2</v>
      </c>
    </row>
    <row r="23" spans="1:4" x14ac:dyDescent="0.3">
      <c r="D23" s="3">
        <f>AVERAGE(D2:D22)</f>
        <v>1.0938095238095236E-2</v>
      </c>
    </row>
  </sheetData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3D771-6FA1-48F6-B546-2B98CB4919C5}">
  <dimension ref="A1:C22"/>
  <sheetViews>
    <sheetView workbookViewId="0">
      <selection activeCell="C8" sqref="C8"/>
    </sheetView>
  </sheetViews>
  <sheetFormatPr defaultRowHeight="14.4" x14ac:dyDescent="0.3"/>
  <cols>
    <col min="2" max="2" width="15.21875" bestFit="1" customWidth="1"/>
    <col min="3" max="3" width="18.44140625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1997</v>
      </c>
      <c r="B2" s="2">
        <v>5078934.59</v>
      </c>
      <c r="C2" s="2">
        <v>42141098.100000001</v>
      </c>
    </row>
    <row r="3" spans="1:3" x14ac:dyDescent="0.3">
      <c r="A3">
        <v>1998</v>
      </c>
      <c r="B3" s="2">
        <v>4123080.78</v>
      </c>
      <c r="C3" s="2">
        <v>31785770.620000001</v>
      </c>
    </row>
    <row r="4" spans="1:3" x14ac:dyDescent="0.3">
      <c r="A4">
        <v>1999</v>
      </c>
      <c r="B4" s="2">
        <v>4073069.06</v>
      </c>
      <c r="C4" s="2">
        <v>30730857.609999999</v>
      </c>
    </row>
    <row r="5" spans="1:3" x14ac:dyDescent="0.3">
      <c r="A5">
        <v>2000</v>
      </c>
      <c r="B5" s="2">
        <v>4000000</v>
      </c>
      <c r="C5" s="2">
        <v>25468008.800000001</v>
      </c>
    </row>
    <row r="6" spans="1:3" x14ac:dyDescent="0.3">
      <c r="A6">
        <v>2023</v>
      </c>
      <c r="B6" s="2">
        <v>40000000</v>
      </c>
      <c r="C6" s="2">
        <v>40000000</v>
      </c>
    </row>
    <row r="7" spans="1:3" x14ac:dyDescent="0.3">
      <c r="B7" s="4"/>
      <c r="C7" s="2">
        <f>AVERAGE(C2:C6)</f>
        <v>34025147.026000001</v>
      </c>
    </row>
    <row r="8" spans="1:3" x14ac:dyDescent="0.3">
      <c r="B8" s="4"/>
      <c r="C8" s="2"/>
    </row>
    <row r="9" spans="1:3" x14ac:dyDescent="0.3">
      <c r="B9" s="4"/>
      <c r="C9" s="2"/>
    </row>
    <row r="10" spans="1:3" x14ac:dyDescent="0.3">
      <c r="B10" s="4"/>
      <c r="C10" s="2"/>
    </row>
    <row r="11" spans="1:3" x14ac:dyDescent="0.3">
      <c r="B11" s="4"/>
      <c r="C11" s="2"/>
    </row>
    <row r="12" spans="1:3" x14ac:dyDescent="0.3">
      <c r="B12" s="4"/>
      <c r="C12" s="2"/>
    </row>
    <row r="13" spans="1:3" x14ac:dyDescent="0.3">
      <c r="B13" s="4"/>
      <c r="C13" s="2"/>
    </row>
    <row r="14" spans="1:3" x14ac:dyDescent="0.3">
      <c r="B14" s="4"/>
      <c r="C14" s="2"/>
    </row>
    <row r="15" spans="1:3" x14ac:dyDescent="0.3">
      <c r="B15" s="4"/>
      <c r="C15" s="2"/>
    </row>
    <row r="16" spans="1:3" x14ac:dyDescent="0.3">
      <c r="B16" s="4"/>
      <c r="C16" s="2"/>
    </row>
    <row r="17" spans="2:3" x14ac:dyDescent="0.3">
      <c r="B17" s="4"/>
      <c r="C17" s="2"/>
    </row>
    <row r="18" spans="2:3" x14ac:dyDescent="0.3">
      <c r="B18" s="4"/>
      <c r="C18" s="2"/>
    </row>
    <row r="19" spans="2:3" x14ac:dyDescent="0.3">
      <c r="B19" s="4"/>
      <c r="C19" s="2"/>
    </row>
    <row r="20" spans="2:3" x14ac:dyDescent="0.3">
      <c r="B20" s="4"/>
      <c r="C20" s="2"/>
    </row>
    <row r="21" spans="2:3" x14ac:dyDescent="0.3">
      <c r="B21" s="4"/>
      <c r="C21" s="2"/>
    </row>
    <row r="22" spans="2:3" x14ac:dyDescent="0.3">
      <c r="B22" s="4"/>
      <c r="C22" s="2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DBAF2-08F4-4567-9F1D-94BC34975C6D}">
  <dimension ref="A1:C9"/>
  <sheetViews>
    <sheetView workbookViewId="0">
      <selection activeCell="D9" sqref="D9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2010</v>
      </c>
      <c r="B2" s="2">
        <v>400000</v>
      </c>
      <c r="C2" s="2">
        <v>1098599.44</v>
      </c>
    </row>
    <row r="3" spans="1:3" x14ac:dyDescent="0.3">
      <c r="A3">
        <v>2011</v>
      </c>
      <c r="B3" s="2">
        <v>700000</v>
      </c>
      <c r="C3" s="2">
        <v>1743460.25</v>
      </c>
    </row>
    <row r="4" spans="1:3" x14ac:dyDescent="0.3">
      <c r="A4">
        <v>2012</v>
      </c>
      <c r="B4" s="2">
        <v>836875</v>
      </c>
      <c r="C4" s="2">
        <v>1967341.9</v>
      </c>
    </row>
    <row r="5" spans="1:3" x14ac:dyDescent="0.3">
      <c r="A5">
        <v>2013</v>
      </c>
      <c r="B5" s="2">
        <v>1222100</v>
      </c>
      <c r="C5" s="2">
        <v>2685938.47</v>
      </c>
    </row>
    <row r="6" spans="1:3" x14ac:dyDescent="0.3">
      <c r="A6">
        <v>2014</v>
      </c>
      <c r="B6" s="2">
        <v>623500</v>
      </c>
      <c r="C6" s="2">
        <v>1297681.07</v>
      </c>
    </row>
    <row r="7" spans="1:3" x14ac:dyDescent="0.3">
      <c r="A7">
        <v>2015</v>
      </c>
      <c r="B7" s="2">
        <v>481000</v>
      </c>
      <c r="C7" s="2">
        <v>965727.37</v>
      </c>
    </row>
    <row r="8" spans="1:3" x14ac:dyDescent="0.3">
      <c r="A8">
        <v>2016</v>
      </c>
      <c r="B8" s="2">
        <v>401000</v>
      </c>
      <c r="C8" s="2">
        <v>727380.36</v>
      </c>
    </row>
    <row r="9" spans="1:3" x14ac:dyDescent="0.3">
      <c r="C9" s="2">
        <f>AVERAGE(C2:C8)</f>
        <v>1498018.4085714284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5B47D-E302-41C0-9EB2-0D7DC7F89916}">
  <dimension ref="A1:C5"/>
  <sheetViews>
    <sheetView workbookViewId="0">
      <selection activeCell="A6" sqref="A6"/>
    </sheetView>
  </sheetViews>
  <sheetFormatPr defaultRowHeight="14.4" x14ac:dyDescent="0.3"/>
  <cols>
    <col min="2" max="2" width="12.6640625" style="1" bestFit="1" customWidth="1"/>
  </cols>
  <sheetData>
    <row r="1" spans="1:3" x14ac:dyDescent="0.3">
      <c r="A1" t="s">
        <v>0</v>
      </c>
      <c r="B1" t="s">
        <v>1</v>
      </c>
    </row>
    <row r="2" spans="1:3" x14ac:dyDescent="0.3">
      <c r="A2">
        <v>1999</v>
      </c>
      <c r="B2" s="1">
        <v>838992</v>
      </c>
      <c r="C2">
        <v>481</v>
      </c>
    </row>
    <row r="3" spans="1:3" x14ac:dyDescent="0.3">
      <c r="A3">
        <v>2000</v>
      </c>
      <c r="B3" s="1">
        <v>1910100.66</v>
      </c>
      <c r="C3">
        <v>461</v>
      </c>
    </row>
    <row r="4" spans="1:3" x14ac:dyDescent="0.3">
      <c r="A4">
        <v>2001</v>
      </c>
      <c r="B4" s="1">
        <v>2047301</v>
      </c>
      <c r="C4">
        <v>449</v>
      </c>
    </row>
    <row r="5" spans="1:3" x14ac:dyDescent="0.3">
      <c r="A5">
        <v>2002</v>
      </c>
      <c r="C5">
        <v>364</v>
      </c>
    </row>
  </sheetData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CC292-CB4E-446A-A179-B609FED62D2D}">
  <dimension ref="A1:C22"/>
  <sheetViews>
    <sheetView workbookViewId="0">
      <selection activeCell="C4" sqref="C4"/>
    </sheetView>
  </sheetViews>
  <sheetFormatPr defaultRowHeight="14.4" x14ac:dyDescent="0.3"/>
  <cols>
    <col min="2" max="2" width="15.21875" bestFit="1" customWidth="1"/>
    <col min="3" max="3" width="18.44140625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2010</v>
      </c>
      <c r="B2" s="2">
        <v>10000000</v>
      </c>
      <c r="C2" s="2">
        <v>27464986</v>
      </c>
    </row>
    <row r="3" spans="1:3" x14ac:dyDescent="0.3">
      <c r="A3">
        <v>2011</v>
      </c>
      <c r="B3" s="2">
        <v>16300000</v>
      </c>
      <c r="C3" s="2">
        <v>40597717.25</v>
      </c>
    </row>
    <row r="4" spans="1:3" x14ac:dyDescent="0.3">
      <c r="B4" s="2"/>
      <c r="C4" s="2">
        <f>AVERAGE(C2:C3)</f>
        <v>34031351.625</v>
      </c>
    </row>
    <row r="5" spans="1:3" x14ac:dyDescent="0.3">
      <c r="B5" s="2"/>
      <c r="C5" s="2"/>
    </row>
    <row r="6" spans="1:3" x14ac:dyDescent="0.3">
      <c r="B6" s="2"/>
      <c r="C6" s="2"/>
    </row>
    <row r="7" spans="1:3" x14ac:dyDescent="0.3">
      <c r="B7" s="4"/>
      <c r="C7" s="2"/>
    </row>
    <row r="8" spans="1:3" x14ac:dyDescent="0.3">
      <c r="B8" s="4"/>
      <c r="C8" s="2"/>
    </row>
    <row r="9" spans="1:3" x14ac:dyDescent="0.3">
      <c r="B9" s="4"/>
      <c r="C9" s="2"/>
    </row>
    <row r="10" spans="1:3" x14ac:dyDescent="0.3">
      <c r="B10" s="4"/>
      <c r="C10" s="2"/>
    </row>
    <row r="11" spans="1:3" x14ac:dyDescent="0.3">
      <c r="B11" s="4"/>
      <c r="C11" s="2"/>
    </row>
    <row r="12" spans="1:3" x14ac:dyDescent="0.3">
      <c r="B12" s="4"/>
      <c r="C12" s="2"/>
    </row>
    <row r="13" spans="1:3" x14ac:dyDescent="0.3">
      <c r="B13" s="4"/>
      <c r="C13" s="2"/>
    </row>
    <row r="14" spans="1:3" x14ac:dyDescent="0.3">
      <c r="B14" s="4"/>
      <c r="C14" s="2"/>
    </row>
    <row r="15" spans="1:3" x14ac:dyDescent="0.3">
      <c r="B15" s="4"/>
      <c r="C15" s="2"/>
    </row>
    <row r="16" spans="1:3" x14ac:dyDescent="0.3">
      <c r="B16" s="4"/>
      <c r="C16" s="2"/>
    </row>
    <row r="17" spans="2:3" x14ac:dyDescent="0.3">
      <c r="B17" s="4"/>
      <c r="C17" s="2"/>
    </row>
    <row r="18" spans="2:3" x14ac:dyDescent="0.3">
      <c r="B18" s="4"/>
      <c r="C18" s="2"/>
    </row>
    <row r="19" spans="2:3" x14ac:dyDescent="0.3">
      <c r="B19" s="4"/>
      <c r="C19" s="2"/>
    </row>
    <row r="20" spans="2:3" x14ac:dyDescent="0.3">
      <c r="B20" s="4"/>
      <c r="C20" s="2"/>
    </row>
    <row r="21" spans="2:3" x14ac:dyDescent="0.3">
      <c r="B21" s="4"/>
      <c r="C21" s="2"/>
    </row>
    <row r="22" spans="2:3" x14ac:dyDescent="0.3">
      <c r="B22" s="4"/>
      <c r="C22" s="2"/>
    </row>
  </sheetData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35603-9CD5-4182-9586-413FB78A5486}">
  <dimension ref="A1:E5"/>
  <sheetViews>
    <sheetView workbookViewId="0">
      <selection activeCell="D6" sqref="D6"/>
    </sheetView>
  </sheetViews>
  <sheetFormatPr defaultRowHeight="14.4" x14ac:dyDescent="0.3"/>
  <cols>
    <col min="2" max="2" width="15.21875" bestFit="1" customWidth="1"/>
    <col min="3" max="3" width="18.33203125" bestFit="1" customWidth="1"/>
    <col min="4" max="4" width="7.33203125" style="3" bestFit="1" customWidth="1"/>
    <col min="5" max="5" width="12.6640625" style="1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23</v>
      </c>
      <c r="E1" t="s">
        <v>6</v>
      </c>
    </row>
    <row r="2" spans="1:5" x14ac:dyDescent="0.3">
      <c r="A2">
        <v>2011</v>
      </c>
      <c r="B2" s="2">
        <v>10286644.210000001</v>
      </c>
      <c r="C2" s="2">
        <v>25620507.550000001</v>
      </c>
      <c r="D2" s="3">
        <v>3.4000000000000002E-2</v>
      </c>
      <c r="E2" s="6"/>
    </row>
    <row r="3" spans="1:5" x14ac:dyDescent="0.3">
      <c r="A3">
        <v>2012</v>
      </c>
      <c r="B3" s="2">
        <v>3950023.34</v>
      </c>
      <c r="C3" s="2">
        <v>9285791.0999999996</v>
      </c>
      <c r="D3" s="3">
        <v>1.23E-2</v>
      </c>
    </row>
    <row r="4" spans="1:5" x14ac:dyDescent="0.3">
      <c r="A4">
        <v>2013</v>
      </c>
      <c r="B4" s="2">
        <v>2639018.59</v>
      </c>
      <c r="C4" s="2">
        <v>5800050.3600000003</v>
      </c>
      <c r="D4" s="3">
        <v>6.3E-3</v>
      </c>
    </row>
    <row r="5" spans="1:5" x14ac:dyDescent="0.3">
      <c r="B5" s="2"/>
      <c r="C5" s="2">
        <f>AVERAGE(C2:C4)</f>
        <v>13568783.003333332</v>
      </c>
      <c r="D5" s="3">
        <f>AVERAGE(D2:D4)</f>
        <v>1.7533333333333335E-2</v>
      </c>
    </row>
  </sheetData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713B9-C1B8-40AD-A3FC-0F41DC0BE52C}">
  <dimension ref="A1:D11"/>
  <sheetViews>
    <sheetView workbookViewId="0">
      <selection activeCell="C12" sqref="C12"/>
    </sheetView>
  </sheetViews>
  <sheetFormatPr defaultRowHeight="14.4" x14ac:dyDescent="0.3"/>
  <cols>
    <col min="2" max="2" width="20.21875" style="1" bestFit="1" customWidth="1"/>
    <col min="3" max="3" width="16.5546875" bestFit="1" customWidth="1"/>
  </cols>
  <sheetData>
    <row r="1" spans="1:4" x14ac:dyDescent="0.3">
      <c r="A1" t="s">
        <v>0</v>
      </c>
      <c r="B1" t="s">
        <v>52</v>
      </c>
      <c r="C1" t="s">
        <v>53</v>
      </c>
      <c r="D1" t="s">
        <v>55</v>
      </c>
    </row>
    <row r="2" spans="1:4" x14ac:dyDescent="0.3">
      <c r="A2">
        <v>2016</v>
      </c>
      <c r="B2" s="7">
        <v>26</v>
      </c>
      <c r="C2" s="7"/>
      <c r="D2" s="7">
        <f>SUM(B2:C2)</f>
        <v>26</v>
      </c>
    </row>
    <row r="3" spans="1:4" x14ac:dyDescent="0.3">
      <c r="A3">
        <v>2017</v>
      </c>
      <c r="B3" s="7">
        <v>353</v>
      </c>
      <c r="C3" s="7">
        <v>258</v>
      </c>
      <c r="D3" s="7">
        <f t="shared" ref="D3:D10" si="0">SUM(B3:C3)</f>
        <v>611</v>
      </c>
    </row>
    <row r="4" spans="1:4" x14ac:dyDescent="0.3">
      <c r="A4">
        <v>2018</v>
      </c>
      <c r="B4" s="7">
        <v>169</v>
      </c>
      <c r="C4" s="7">
        <v>135</v>
      </c>
      <c r="D4" s="7">
        <f t="shared" si="0"/>
        <v>304</v>
      </c>
    </row>
    <row r="5" spans="1:4" x14ac:dyDescent="0.3">
      <c r="A5">
        <v>2019</v>
      </c>
      <c r="B5" s="7"/>
      <c r="C5" s="7"/>
      <c r="D5" s="7"/>
    </row>
    <row r="6" spans="1:4" x14ac:dyDescent="0.3">
      <c r="A6">
        <v>2020</v>
      </c>
      <c r="B6" s="7" t="s">
        <v>54</v>
      </c>
      <c r="C6" s="7" t="s">
        <v>54</v>
      </c>
      <c r="D6" s="7"/>
    </row>
    <row r="7" spans="1:4" x14ac:dyDescent="0.3">
      <c r="A7">
        <v>2021</v>
      </c>
      <c r="B7" s="7">
        <v>20</v>
      </c>
      <c r="C7" s="7">
        <v>223</v>
      </c>
      <c r="D7" s="7">
        <f t="shared" si="0"/>
        <v>243</v>
      </c>
    </row>
    <row r="8" spans="1:4" x14ac:dyDescent="0.3">
      <c r="A8">
        <v>2022</v>
      </c>
      <c r="B8" s="7">
        <v>78</v>
      </c>
      <c r="C8" s="7">
        <v>276</v>
      </c>
      <c r="D8" s="7">
        <f t="shared" si="0"/>
        <v>354</v>
      </c>
    </row>
    <row r="9" spans="1:4" x14ac:dyDescent="0.3">
      <c r="A9">
        <v>2023</v>
      </c>
      <c r="B9" s="7">
        <v>155</v>
      </c>
      <c r="C9" s="7">
        <v>417</v>
      </c>
      <c r="D9" s="7">
        <f t="shared" si="0"/>
        <v>572</v>
      </c>
    </row>
    <row r="10" spans="1:4" x14ac:dyDescent="0.3">
      <c r="A10">
        <v>2024</v>
      </c>
      <c r="B10" s="7">
        <v>71</v>
      </c>
      <c r="C10" s="7">
        <v>838</v>
      </c>
      <c r="D10" s="7">
        <f t="shared" si="0"/>
        <v>909</v>
      </c>
    </row>
    <row r="11" spans="1:4" x14ac:dyDescent="0.3">
      <c r="C11" t="s">
        <v>32</v>
      </c>
      <c r="D11" s="7">
        <f>AVERAGE(D2:D10)</f>
        <v>431.28571428571428</v>
      </c>
    </row>
  </sheetData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EA877-D698-47EA-9E0F-2311A1331D49}">
  <dimension ref="A1:E21"/>
  <sheetViews>
    <sheetView workbookViewId="0">
      <selection activeCell="G17" sqref="G17"/>
    </sheetView>
  </sheetViews>
  <sheetFormatPr defaultRowHeight="14.4" x14ac:dyDescent="0.3"/>
  <cols>
    <col min="2" max="2" width="15.21875" bestFit="1" customWidth="1"/>
    <col min="3" max="3" width="18.33203125" bestFit="1" customWidth="1"/>
    <col min="4" max="4" width="7.33203125" bestFit="1" customWidth="1"/>
    <col min="5" max="5" width="12.6640625" style="1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23</v>
      </c>
      <c r="E1" t="s">
        <v>6</v>
      </c>
    </row>
    <row r="2" spans="1:5" x14ac:dyDescent="0.3">
      <c r="A2">
        <v>1993</v>
      </c>
      <c r="B2" s="2"/>
      <c r="C2" s="2"/>
      <c r="D2" s="3"/>
      <c r="E2" s="7">
        <v>1483</v>
      </c>
    </row>
    <row r="3" spans="1:5" x14ac:dyDescent="0.3">
      <c r="A3">
        <v>1994</v>
      </c>
      <c r="B3" s="2"/>
      <c r="C3" s="2"/>
      <c r="D3" s="3"/>
      <c r="E3" s="7"/>
    </row>
    <row r="4" spans="1:5" x14ac:dyDescent="0.3">
      <c r="A4">
        <v>2006</v>
      </c>
      <c r="B4" s="2">
        <v>1000000</v>
      </c>
      <c r="C4" s="2">
        <v>3324559.1</v>
      </c>
      <c r="D4" s="3">
        <v>2.9100000000000001E-2</v>
      </c>
      <c r="E4" s="7"/>
    </row>
    <row r="5" spans="1:5" x14ac:dyDescent="0.3">
      <c r="A5">
        <v>2007</v>
      </c>
      <c r="B5" s="2"/>
      <c r="C5" s="2"/>
      <c r="D5" s="3"/>
      <c r="E5" s="7"/>
    </row>
    <row r="6" spans="1:5" x14ac:dyDescent="0.3">
      <c r="A6">
        <v>2008</v>
      </c>
      <c r="B6" s="2"/>
      <c r="C6" s="2"/>
      <c r="D6" s="3"/>
      <c r="E6" s="7"/>
    </row>
    <row r="7" spans="1:5" x14ac:dyDescent="0.3">
      <c r="A7">
        <v>2009</v>
      </c>
      <c r="B7" s="2">
        <v>2726045.41</v>
      </c>
      <c r="C7" s="2">
        <v>7367970.7999999998</v>
      </c>
      <c r="D7" s="3">
        <v>7.1099999999999997E-2</v>
      </c>
      <c r="E7" s="7"/>
    </row>
    <row r="8" spans="1:5" x14ac:dyDescent="0.3">
      <c r="A8">
        <v>2010</v>
      </c>
      <c r="B8" s="2">
        <v>2999428.92</v>
      </c>
      <c r="C8" s="2">
        <v>8237927.3300000001</v>
      </c>
      <c r="D8" s="3">
        <v>2.7000000000000001E-3</v>
      </c>
      <c r="E8" s="7"/>
    </row>
    <row r="9" spans="1:5" x14ac:dyDescent="0.3">
      <c r="A9">
        <v>2011</v>
      </c>
      <c r="B9" s="2">
        <v>3287807.54</v>
      </c>
      <c r="C9" s="2">
        <v>8188802.5099999998</v>
      </c>
      <c r="D9" s="3">
        <v>5.1999999999999998E-3</v>
      </c>
      <c r="E9" s="7"/>
    </row>
    <row r="10" spans="1:5" x14ac:dyDescent="0.3">
      <c r="A10">
        <v>2012</v>
      </c>
      <c r="B10" s="2">
        <v>13807024.720000001</v>
      </c>
      <c r="C10" s="2">
        <v>32457820.190000001</v>
      </c>
      <c r="D10" s="3">
        <v>2.1499999999999998E-2</v>
      </c>
      <c r="E10" s="7"/>
    </row>
    <row r="11" spans="1:5" x14ac:dyDescent="0.3">
      <c r="A11">
        <v>2013</v>
      </c>
      <c r="B11" s="2">
        <v>14899166.82</v>
      </c>
      <c r="C11" s="2">
        <v>32723497.190000001</v>
      </c>
      <c r="D11" s="3">
        <v>2.12E-2</v>
      </c>
      <c r="E11" s="7">
        <v>1328</v>
      </c>
    </row>
    <row r="12" spans="1:5" x14ac:dyDescent="0.3">
      <c r="A12">
        <v>2014</v>
      </c>
      <c r="B12" s="2">
        <v>8412821.5</v>
      </c>
      <c r="C12" s="2">
        <v>17509477.510000002</v>
      </c>
      <c r="D12" s="3">
        <v>2.1899999999999999E-2</v>
      </c>
      <c r="E12" s="7">
        <v>3897</v>
      </c>
    </row>
    <row r="13" spans="1:5" x14ac:dyDescent="0.3">
      <c r="A13">
        <v>2015</v>
      </c>
      <c r="B13" s="2">
        <v>4499968.75</v>
      </c>
      <c r="C13" s="2">
        <v>9034808.6600000001</v>
      </c>
      <c r="D13" s="3">
        <v>7.6E-3</v>
      </c>
      <c r="E13" s="7">
        <v>3241</v>
      </c>
    </row>
    <row r="14" spans="1:5" x14ac:dyDescent="0.3">
      <c r="A14">
        <v>2016</v>
      </c>
      <c r="B14" s="2">
        <v>3930936.42</v>
      </c>
      <c r="C14" s="2">
        <v>7130388.8600000003</v>
      </c>
      <c r="D14" s="3">
        <v>1.5900000000000001E-2</v>
      </c>
      <c r="E14" s="7"/>
    </row>
    <row r="15" spans="1:5" x14ac:dyDescent="0.3">
      <c r="A15">
        <v>2017</v>
      </c>
      <c r="B15" s="2">
        <v>3695615.08</v>
      </c>
      <c r="C15" s="2">
        <v>6258153.0999999996</v>
      </c>
      <c r="D15" s="3">
        <v>1.3899999999999999E-2</v>
      </c>
      <c r="E15" s="7"/>
    </row>
    <row r="16" spans="1:5" x14ac:dyDescent="0.3">
      <c r="A16">
        <v>2018</v>
      </c>
      <c r="B16" s="2">
        <v>4677991.84</v>
      </c>
      <c r="C16" s="2">
        <v>7990701</v>
      </c>
      <c r="D16" s="3">
        <v>1.7600000000000001E-2</v>
      </c>
      <c r="E16" s="7"/>
    </row>
    <row r="17" spans="1:5" x14ac:dyDescent="0.3">
      <c r="A17">
        <v>2019</v>
      </c>
      <c r="B17" s="2">
        <v>5138756.84</v>
      </c>
      <c r="C17" s="2">
        <v>8003369.1699999999</v>
      </c>
      <c r="D17" s="3">
        <v>1.77E-2</v>
      </c>
      <c r="E17" s="7">
        <v>425</v>
      </c>
    </row>
    <row r="18" spans="1:5" x14ac:dyDescent="0.3">
      <c r="A18">
        <v>2020</v>
      </c>
      <c r="B18" s="2">
        <v>14772536.27</v>
      </c>
      <c r="C18" s="2">
        <v>22129003.77</v>
      </c>
      <c r="D18" s="3">
        <v>6.1600000000000002E-2</v>
      </c>
      <c r="E18" s="7"/>
    </row>
    <row r="19" spans="1:5" x14ac:dyDescent="0.3">
      <c r="A19">
        <v>2021</v>
      </c>
      <c r="B19" s="2">
        <v>15952777.07</v>
      </c>
      <c r="C19" s="2">
        <v>19191103.07</v>
      </c>
      <c r="D19" s="3">
        <v>4.3900000000000002E-2</v>
      </c>
      <c r="E19" s="7"/>
    </row>
    <row r="20" spans="1:5" x14ac:dyDescent="0.3">
      <c r="A20">
        <v>2022</v>
      </c>
      <c r="B20" s="2">
        <v>16096090.49</v>
      </c>
      <c r="C20" s="2">
        <v>16425744.859999999</v>
      </c>
      <c r="D20" s="3">
        <v>3.1E-2</v>
      </c>
      <c r="E20" s="7"/>
    </row>
    <row r="21" spans="1:5" x14ac:dyDescent="0.3">
      <c r="C21" s="2">
        <f>AVERAGE(C4,C7:C20)</f>
        <v>13731555.141333334</v>
      </c>
      <c r="D21" s="3">
        <f>AVERAGE(D4,D7:D20)</f>
        <v>2.546E-2</v>
      </c>
      <c r="E21" s="6">
        <f>AVERAGE(E2:E17)</f>
        <v>2074.8000000000002</v>
      </c>
    </row>
  </sheetData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72C14-B2A8-449B-85E5-66B6080B9016}">
  <dimension ref="A1:C7"/>
  <sheetViews>
    <sheetView workbookViewId="0">
      <selection activeCell="C8" sqref="C8"/>
    </sheetView>
  </sheetViews>
  <sheetFormatPr defaultRowHeight="14.4" x14ac:dyDescent="0.3"/>
  <cols>
    <col min="2" max="2" width="15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1998</v>
      </c>
      <c r="B2" s="2">
        <v>800000</v>
      </c>
      <c r="C2" s="2">
        <v>6035911.9199999999</v>
      </c>
    </row>
    <row r="3" spans="1:3" x14ac:dyDescent="0.3">
      <c r="A3">
        <v>1999</v>
      </c>
      <c r="B3" s="2">
        <v>700000</v>
      </c>
      <c r="C3" s="2">
        <v>4456901.54</v>
      </c>
    </row>
    <row r="4" spans="1:3" x14ac:dyDescent="0.3">
      <c r="A4">
        <v>2000</v>
      </c>
      <c r="B4" s="2">
        <v>700000</v>
      </c>
      <c r="C4" s="2">
        <v>4006628.5</v>
      </c>
    </row>
    <row r="5" spans="1:3" x14ac:dyDescent="0.3">
      <c r="A5">
        <v>2001</v>
      </c>
      <c r="B5" s="2">
        <v>700000</v>
      </c>
      <c r="C5" s="2">
        <v>3614928.73</v>
      </c>
    </row>
    <row r="6" spans="1:3" x14ac:dyDescent="0.3">
      <c r="A6">
        <v>2002</v>
      </c>
      <c r="B6" s="2">
        <v>420000</v>
      </c>
      <c r="C6" s="2">
        <v>1791832.14</v>
      </c>
    </row>
    <row r="7" spans="1:3" x14ac:dyDescent="0.3">
      <c r="C7" s="2">
        <f>AVERAGE(C2:C6)</f>
        <v>3981240.5660000006</v>
      </c>
    </row>
  </sheetData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836E3-1B2B-4F48-9CF0-D101D622FE7A}">
  <dimension ref="A1:E3"/>
  <sheetViews>
    <sheetView workbookViewId="0">
      <selection activeCell="D4" sqref="D4"/>
    </sheetView>
  </sheetViews>
  <sheetFormatPr defaultRowHeight="14.4" x14ac:dyDescent="0.3"/>
  <cols>
    <col min="2" max="2" width="15.21875" style="2" bestFit="1" customWidth="1"/>
    <col min="3" max="3" width="18.33203125" style="2" bestFit="1" customWidth="1"/>
    <col min="4" max="4" width="7.33203125" bestFit="1" customWidth="1"/>
    <col min="5" max="5" width="12.6640625" style="6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23</v>
      </c>
      <c r="E1" t="s">
        <v>6</v>
      </c>
    </row>
    <row r="2" spans="1:5" x14ac:dyDescent="0.3">
      <c r="A2">
        <v>2011</v>
      </c>
      <c r="B2" s="2">
        <v>16768765.130000001</v>
      </c>
      <c r="C2" s="2">
        <v>41765250.640000001</v>
      </c>
      <c r="D2" s="3"/>
      <c r="E2" s="6">
        <v>2174</v>
      </c>
    </row>
    <row r="3" spans="1:5" x14ac:dyDescent="0.3">
      <c r="A3">
        <v>2012</v>
      </c>
      <c r="B3" s="2">
        <v>6773000</v>
      </c>
      <c r="C3" s="2">
        <v>15922099.119999999</v>
      </c>
      <c r="D3">
        <v>3.96</v>
      </c>
      <c r="E3" s="6">
        <v>2500</v>
      </c>
    </row>
  </sheetData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5BBBC-6C0D-4CDC-8EA2-5BEBD0E13611}">
  <dimension ref="A1:D12"/>
  <sheetViews>
    <sheetView workbookViewId="0">
      <selection activeCell="F12" sqref="F12"/>
    </sheetView>
  </sheetViews>
  <sheetFormatPr defaultRowHeight="14.4" x14ac:dyDescent="0.3"/>
  <cols>
    <col min="2" max="2" width="14.21875" bestFit="1" customWidth="1"/>
    <col min="3" max="3" width="18.33203125" style="2" bestFit="1" customWidth="1"/>
    <col min="4" max="4" width="11.21875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6</v>
      </c>
    </row>
    <row r="2" spans="1:4" x14ac:dyDescent="0.3">
      <c r="A2">
        <v>2001</v>
      </c>
      <c r="D2">
        <v>4573</v>
      </c>
    </row>
    <row r="3" spans="1:4" x14ac:dyDescent="0.3">
      <c r="A3">
        <v>2002</v>
      </c>
      <c r="B3" s="2">
        <v>1622141</v>
      </c>
      <c r="C3" s="2">
        <v>8377034.4400000004</v>
      </c>
      <c r="D3">
        <v>5988</v>
      </c>
    </row>
    <row r="4" spans="1:4" x14ac:dyDescent="0.3">
      <c r="A4">
        <v>2003</v>
      </c>
      <c r="B4" s="2">
        <v>1500000</v>
      </c>
      <c r="C4" s="2">
        <v>6399400.5</v>
      </c>
      <c r="D4">
        <v>8413</v>
      </c>
    </row>
    <row r="5" spans="1:4" x14ac:dyDescent="0.3">
      <c r="A5">
        <v>2004</v>
      </c>
      <c r="B5" s="2">
        <v>1927800</v>
      </c>
      <c r="C5" s="2">
        <v>7337104.4299999997</v>
      </c>
      <c r="D5">
        <v>8386</v>
      </c>
    </row>
    <row r="6" spans="1:4" x14ac:dyDescent="0.3">
      <c r="B6" s="1" t="s">
        <v>32</v>
      </c>
      <c r="C6" s="2">
        <f>MEDIAN(C3:C5)</f>
        <v>7337104.4299999997</v>
      </c>
      <c r="D6">
        <f>AVERAGE(D2:D5)</f>
        <v>6840</v>
      </c>
    </row>
    <row r="7" spans="1:4" x14ac:dyDescent="0.3">
      <c r="B7" s="1"/>
    </row>
    <row r="8" spans="1:4" x14ac:dyDescent="0.3">
      <c r="B8" s="1"/>
    </row>
    <row r="9" spans="1:4" x14ac:dyDescent="0.3">
      <c r="B9" s="1"/>
    </row>
    <row r="10" spans="1:4" x14ac:dyDescent="0.3">
      <c r="B10" s="1"/>
    </row>
    <row r="11" spans="1:4" x14ac:dyDescent="0.3">
      <c r="B11" s="1"/>
    </row>
    <row r="12" spans="1:4" x14ac:dyDescent="0.3">
      <c r="D12" s="6"/>
    </row>
  </sheetData>
  <pageMargins left="0.511811024" right="0.511811024" top="0.78740157499999996" bottom="0.78740157499999996" header="0.31496062000000002" footer="0.3149606200000000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AF818-06B0-43A6-B846-8E362C9998CC}">
  <dimension ref="A1:C11"/>
  <sheetViews>
    <sheetView workbookViewId="0">
      <selection activeCell="M3" sqref="M3"/>
    </sheetView>
  </sheetViews>
  <sheetFormatPr defaultRowHeight="14.4" x14ac:dyDescent="0.3"/>
  <cols>
    <col min="2" max="2" width="14.21875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2001</v>
      </c>
      <c r="B2" s="2">
        <v>3000000</v>
      </c>
      <c r="C2" s="2">
        <v>15492551.699999999</v>
      </c>
    </row>
    <row r="3" spans="1:3" x14ac:dyDescent="0.3">
      <c r="A3">
        <v>2002</v>
      </c>
      <c r="B3" s="2">
        <v>3000000</v>
      </c>
      <c r="C3" s="2">
        <v>12798801</v>
      </c>
    </row>
    <row r="4" spans="1:3" x14ac:dyDescent="0.3">
      <c r="A4">
        <v>2003</v>
      </c>
      <c r="B4" s="2">
        <v>3000000</v>
      </c>
      <c r="C4" s="2">
        <v>11417840.699999999</v>
      </c>
    </row>
    <row r="5" spans="1:3" x14ac:dyDescent="0.3">
      <c r="A5">
        <v>2004</v>
      </c>
      <c r="B5" s="2">
        <v>3000000</v>
      </c>
      <c r="C5" s="2">
        <v>10169303.1</v>
      </c>
    </row>
    <row r="6" spans="1:3" x14ac:dyDescent="0.3">
      <c r="A6">
        <v>2023</v>
      </c>
      <c r="B6" s="2">
        <v>2000000</v>
      </c>
      <c r="C6" s="2">
        <v>2000000</v>
      </c>
    </row>
    <row r="7" spans="1:3" x14ac:dyDescent="0.3">
      <c r="B7" s="1"/>
      <c r="C7" s="2">
        <f>AVERAGE(C2:C6)</f>
        <v>10375699.300000001</v>
      </c>
    </row>
    <row r="8" spans="1:3" x14ac:dyDescent="0.3">
      <c r="B8" s="1"/>
    </row>
    <row r="9" spans="1:3" x14ac:dyDescent="0.3">
      <c r="B9" s="1"/>
    </row>
    <row r="10" spans="1:3" x14ac:dyDescent="0.3">
      <c r="B10" s="1"/>
    </row>
    <row r="11" spans="1:3" x14ac:dyDescent="0.3">
      <c r="B11" s="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2B238-F5A9-4461-AA11-5621B82F34DC}">
  <dimension ref="A1:D12"/>
  <sheetViews>
    <sheetView workbookViewId="0">
      <selection activeCell="D12" sqref="D12"/>
    </sheetView>
  </sheetViews>
  <sheetFormatPr defaultRowHeight="14.4" x14ac:dyDescent="0.3"/>
  <cols>
    <col min="2" max="2" width="11.5546875" bestFit="1" customWidth="1"/>
    <col min="3" max="3" width="18.33203125" style="2" bestFit="1" customWidth="1"/>
    <col min="4" max="4" width="11.21875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6</v>
      </c>
    </row>
    <row r="2" spans="1:4" x14ac:dyDescent="0.3">
      <c r="A2">
        <v>1989</v>
      </c>
      <c r="D2">
        <v>390</v>
      </c>
    </row>
    <row r="3" spans="1:4" x14ac:dyDescent="0.3">
      <c r="A3">
        <v>1990</v>
      </c>
      <c r="D3">
        <v>2500</v>
      </c>
    </row>
    <row r="4" spans="1:4" x14ac:dyDescent="0.3">
      <c r="A4">
        <v>1991</v>
      </c>
      <c r="B4" s="1"/>
      <c r="D4">
        <v>10000</v>
      </c>
    </row>
    <row r="5" spans="1:4" x14ac:dyDescent="0.3">
      <c r="A5">
        <v>1992</v>
      </c>
      <c r="B5" s="1"/>
      <c r="D5">
        <v>10000</v>
      </c>
    </row>
    <row r="6" spans="1:4" x14ac:dyDescent="0.3">
      <c r="A6">
        <v>2001</v>
      </c>
      <c r="B6" s="1"/>
      <c r="D6">
        <v>5167</v>
      </c>
    </row>
    <row r="7" spans="1:4" x14ac:dyDescent="0.3">
      <c r="A7">
        <v>2002</v>
      </c>
      <c r="B7" s="1"/>
      <c r="D7">
        <v>7633</v>
      </c>
    </row>
    <row r="8" spans="1:4" x14ac:dyDescent="0.3">
      <c r="A8">
        <v>2004</v>
      </c>
      <c r="B8" s="1">
        <v>8457000</v>
      </c>
      <c r="C8" s="2">
        <v>32008494.420000002</v>
      </c>
      <c r="D8">
        <v>1972</v>
      </c>
    </row>
    <row r="9" spans="1:4" x14ac:dyDescent="0.3">
      <c r="A9">
        <v>2021</v>
      </c>
      <c r="B9" s="1"/>
      <c r="D9">
        <v>300</v>
      </c>
    </row>
    <row r="10" spans="1:4" x14ac:dyDescent="0.3">
      <c r="A10">
        <v>2022</v>
      </c>
      <c r="B10" s="1"/>
      <c r="D10">
        <v>300</v>
      </c>
    </row>
    <row r="11" spans="1:4" x14ac:dyDescent="0.3">
      <c r="A11">
        <v>2023</v>
      </c>
      <c r="B11" s="1">
        <v>1000000</v>
      </c>
      <c r="C11" s="2">
        <v>1000000</v>
      </c>
      <c r="D11">
        <v>300</v>
      </c>
    </row>
    <row r="12" spans="1:4" x14ac:dyDescent="0.3">
      <c r="C12" s="2">
        <f>AVERAGE(C8,C11)</f>
        <v>16504247.210000001</v>
      </c>
      <c r="D12" s="6">
        <f>AVERAGE(D2:D11)</f>
        <v>3856.2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E0203-DA1A-417A-A3AA-16A6DEBD8197}">
  <dimension ref="A1:C5"/>
  <sheetViews>
    <sheetView workbookViewId="0">
      <selection activeCell="C6" sqref="C6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2018</v>
      </c>
      <c r="B2" s="2">
        <v>1268000</v>
      </c>
      <c r="C2" s="2">
        <v>2165931.2799999998</v>
      </c>
    </row>
    <row r="3" spans="1:3" x14ac:dyDescent="0.3">
      <c r="A3">
        <v>2019</v>
      </c>
      <c r="B3" s="2">
        <v>1007000</v>
      </c>
      <c r="C3" s="2">
        <v>1568354.57</v>
      </c>
    </row>
    <row r="4" spans="1:3" x14ac:dyDescent="0.3">
      <c r="A4">
        <v>2020</v>
      </c>
      <c r="B4" s="2">
        <v>472000</v>
      </c>
      <c r="C4" s="2">
        <v>707047.83</v>
      </c>
    </row>
    <row r="5" spans="1:3" x14ac:dyDescent="0.3">
      <c r="C5" s="2">
        <f>AVERAGE(C2:C4)</f>
        <v>1480444.5599999998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43899-EE69-4809-B0FE-EA4DE3F7AE99}">
  <dimension ref="A1:H37"/>
  <sheetViews>
    <sheetView tabSelected="1" topLeftCell="C8" workbookViewId="0">
      <selection activeCell="R28" sqref="R28"/>
    </sheetView>
  </sheetViews>
  <sheetFormatPr defaultRowHeight="14.4" x14ac:dyDescent="0.3"/>
  <cols>
    <col min="3" max="3" width="16.21875" bestFit="1" customWidth="1"/>
    <col min="4" max="4" width="22.33203125" bestFit="1" customWidth="1"/>
    <col min="5" max="5" width="11.77734375" bestFit="1" customWidth="1"/>
    <col min="6" max="6" width="11.109375" style="2" bestFit="1" customWidth="1"/>
    <col min="7" max="8" width="10.5546875" bestFit="1" customWidth="1"/>
  </cols>
  <sheetData>
    <row r="1" spans="1:8" x14ac:dyDescent="0.3">
      <c r="A1" t="s">
        <v>0</v>
      </c>
      <c r="B1" t="s">
        <v>39</v>
      </c>
      <c r="C1" s="2" t="s">
        <v>38</v>
      </c>
      <c r="D1" s="2" t="s">
        <v>37</v>
      </c>
      <c r="E1" s="2" t="s">
        <v>36</v>
      </c>
      <c r="F1" s="2" t="s">
        <v>59</v>
      </c>
    </row>
    <row r="2" spans="1:8" x14ac:dyDescent="0.3">
      <c r="A2">
        <v>1989</v>
      </c>
      <c r="B2">
        <v>720</v>
      </c>
      <c r="C2" s="2">
        <f>96229511/4</f>
        <v>24057377.75</v>
      </c>
      <c r="D2" s="2"/>
      <c r="E2" s="3"/>
      <c r="F2" s="3"/>
      <c r="G2" t="s">
        <v>35</v>
      </c>
    </row>
    <row r="3" spans="1:8" x14ac:dyDescent="0.3">
      <c r="A3">
        <v>1990</v>
      </c>
      <c r="B3">
        <v>628</v>
      </c>
      <c r="C3" s="2">
        <f>96229511/4</f>
        <v>24057377.75</v>
      </c>
      <c r="D3" s="2"/>
      <c r="E3" s="3"/>
      <c r="F3" s="3"/>
    </row>
    <row r="4" spans="1:8" x14ac:dyDescent="0.3">
      <c r="A4">
        <v>1991</v>
      </c>
      <c r="B4" s="6">
        <v>3086</v>
      </c>
      <c r="C4" s="2">
        <f>96229511/4</f>
        <v>24057377.75</v>
      </c>
      <c r="D4" s="2"/>
      <c r="E4" s="3"/>
      <c r="F4" s="3"/>
    </row>
    <row r="5" spans="1:8" x14ac:dyDescent="0.3">
      <c r="A5">
        <v>1992</v>
      </c>
      <c r="B5" s="6">
        <v>6168</v>
      </c>
      <c r="C5" s="2">
        <f>96229511/4</f>
        <v>24057377.75</v>
      </c>
      <c r="D5" s="2"/>
      <c r="E5" s="3"/>
      <c r="F5" s="3"/>
    </row>
    <row r="6" spans="1:8" x14ac:dyDescent="0.3">
      <c r="A6">
        <v>1993</v>
      </c>
      <c r="B6" s="6">
        <v>6975</v>
      </c>
      <c r="C6" s="2">
        <v>478353798.38249999</v>
      </c>
      <c r="D6" s="2"/>
      <c r="E6" s="3"/>
      <c r="F6" s="3"/>
    </row>
    <row r="7" spans="1:8" x14ac:dyDescent="0.3">
      <c r="A7">
        <v>1994</v>
      </c>
      <c r="B7" s="6">
        <v>8011</v>
      </c>
      <c r="C7" s="2">
        <v>478353798.38249999</v>
      </c>
      <c r="D7" s="2"/>
      <c r="E7" s="3"/>
      <c r="F7" s="3"/>
    </row>
    <row r="8" spans="1:8" x14ac:dyDescent="0.3">
      <c r="A8">
        <v>1995</v>
      </c>
      <c r="B8" s="6">
        <v>8496</v>
      </c>
      <c r="C8" s="2">
        <v>478353798.38249999</v>
      </c>
      <c r="D8" s="2">
        <v>5000405035</v>
      </c>
      <c r="E8" s="3">
        <v>0.5</v>
      </c>
      <c r="F8" s="2">
        <f>D8/1311996</f>
        <v>3811.2959452620285</v>
      </c>
      <c r="G8">
        <v>1995</v>
      </c>
      <c r="H8" s="2">
        <v>3811.2959452620285</v>
      </c>
    </row>
    <row r="9" spans="1:8" x14ac:dyDescent="0.3">
      <c r="A9">
        <v>1996</v>
      </c>
      <c r="B9" s="6">
        <v>7653</v>
      </c>
      <c r="C9" s="2">
        <v>478353798.38249999</v>
      </c>
      <c r="D9" s="2">
        <v>4333359032.8000002</v>
      </c>
      <c r="E9" s="3">
        <v>0.54</v>
      </c>
      <c r="F9" s="2">
        <f t="shared" ref="F9:G12" si="0">D9/1311996</f>
        <v>3302.8751862048362</v>
      </c>
      <c r="G9">
        <v>1996</v>
      </c>
      <c r="H9" s="2">
        <v>3302.8751862048362</v>
      </c>
    </row>
    <row r="10" spans="1:8" x14ac:dyDescent="0.3">
      <c r="A10">
        <v>1997</v>
      </c>
      <c r="B10" s="6">
        <v>11078</v>
      </c>
      <c r="C10" s="2">
        <f>767000576.55/4</f>
        <v>191750144.13749999</v>
      </c>
      <c r="D10" s="2">
        <v>1590995412.79</v>
      </c>
      <c r="E10" s="3">
        <v>0.44</v>
      </c>
      <c r="F10" s="2">
        <f t="shared" si="0"/>
        <v>1212.6526397870116</v>
      </c>
      <c r="G10">
        <v>1997</v>
      </c>
      <c r="H10" s="2">
        <v>1212.6526397870116</v>
      </c>
    </row>
    <row r="11" spans="1:8" x14ac:dyDescent="0.3">
      <c r="A11">
        <v>1998</v>
      </c>
      <c r="B11" s="6">
        <v>11790</v>
      </c>
      <c r="C11" s="2">
        <f>767000576.55/4</f>
        <v>191750144.13749999</v>
      </c>
      <c r="D11" s="2">
        <v>1478245618.5599999</v>
      </c>
      <c r="E11" s="3">
        <v>0.76</v>
      </c>
      <c r="F11" s="2">
        <f t="shared" si="0"/>
        <v>1126.7150346190078</v>
      </c>
      <c r="G11">
        <v>1998</v>
      </c>
      <c r="H11" s="2">
        <v>1126.7150346190078</v>
      </c>
    </row>
    <row r="12" spans="1:8" x14ac:dyDescent="0.3">
      <c r="A12">
        <v>1999</v>
      </c>
      <c r="B12" s="6">
        <v>14776</v>
      </c>
      <c r="C12" s="2">
        <f>767000576.55/4</f>
        <v>191750144.13749999</v>
      </c>
      <c r="D12" s="2">
        <v>1446733725.8499999</v>
      </c>
      <c r="E12" s="3">
        <v>0.72</v>
      </c>
      <c r="F12" s="2">
        <f t="shared" si="0"/>
        <v>1102.6967504855197</v>
      </c>
      <c r="G12">
        <v>1999</v>
      </c>
      <c r="H12" s="2">
        <v>1102.6967504855197</v>
      </c>
    </row>
    <row r="13" spans="1:8" x14ac:dyDescent="0.3">
      <c r="A13">
        <v>2000</v>
      </c>
      <c r="B13" s="6">
        <v>14377</v>
      </c>
      <c r="C13" s="2">
        <f>767000576.55/4</f>
        <v>191750144.13749999</v>
      </c>
      <c r="D13" s="2">
        <v>1220873589.5899999</v>
      </c>
      <c r="E13" s="3">
        <v>1.0900000000000001</v>
      </c>
      <c r="F13" s="2">
        <f>D13/1360590</f>
        <v>897.31189380342346</v>
      </c>
      <c r="G13">
        <v>2000</v>
      </c>
      <c r="H13" s="2">
        <v>897.31189380342346</v>
      </c>
    </row>
    <row r="14" spans="1:8" x14ac:dyDescent="0.3">
      <c r="A14">
        <v>2001</v>
      </c>
      <c r="B14" s="6">
        <v>16612</v>
      </c>
      <c r="C14" s="2">
        <f>516254013/4</f>
        <v>129063503.25</v>
      </c>
      <c r="D14" s="2">
        <v>738727872.03999996</v>
      </c>
      <c r="E14" s="3">
        <v>0.66</v>
      </c>
      <c r="F14" s="2">
        <f t="shared" ref="F14:G18" si="1">D14/1360590</f>
        <v>542.94671579241356</v>
      </c>
      <c r="G14">
        <v>2001</v>
      </c>
      <c r="H14" s="2">
        <v>542.94671579241356</v>
      </c>
    </row>
    <row r="15" spans="1:8" x14ac:dyDescent="0.3">
      <c r="A15">
        <v>2002</v>
      </c>
      <c r="B15" s="6">
        <v>17397</v>
      </c>
      <c r="C15" s="2">
        <f>516254013/4</f>
        <v>129063503.25</v>
      </c>
      <c r="D15" s="2">
        <v>666507665.55999994</v>
      </c>
      <c r="E15" s="3">
        <v>0.66</v>
      </c>
      <c r="F15" s="2">
        <f t="shared" si="1"/>
        <v>489.8666501738216</v>
      </c>
      <c r="G15">
        <v>2002</v>
      </c>
      <c r="H15" s="2">
        <v>489.8666501738216</v>
      </c>
    </row>
    <row r="16" spans="1:8" x14ac:dyDescent="0.3">
      <c r="A16">
        <v>2003</v>
      </c>
      <c r="B16" s="6">
        <v>14857</v>
      </c>
      <c r="C16" s="2">
        <f>516254013/4</f>
        <v>129063503.25</v>
      </c>
      <c r="D16" s="2">
        <v>550619364.82000005</v>
      </c>
      <c r="E16" s="3">
        <v>0.62</v>
      </c>
      <c r="F16" s="2">
        <f t="shared" si="1"/>
        <v>404.69161526984618</v>
      </c>
      <c r="G16">
        <v>2003</v>
      </c>
      <c r="H16" s="2">
        <v>404.69161526984618</v>
      </c>
    </row>
    <row r="17" spans="1:8" x14ac:dyDescent="0.3">
      <c r="A17">
        <v>2004</v>
      </c>
      <c r="B17" s="6">
        <v>13284</v>
      </c>
      <c r="C17" s="2">
        <f>516254013/4</f>
        <v>129063503.25</v>
      </c>
      <c r="D17" s="2">
        <v>491208840.10000002</v>
      </c>
      <c r="E17" s="3">
        <v>0.43</v>
      </c>
      <c r="F17" s="2">
        <f t="shared" si="1"/>
        <v>361.02634893685831</v>
      </c>
      <c r="G17">
        <v>2004</v>
      </c>
      <c r="H17" s="2">
        <v>361.02634893685831</v>
      </c>
    </row>
    <row r="18" spans="1:8" x14ac:dyDescent="0.3">
      <c r="A18">
        <v>2005</v>
      </c>
      <c r="B18" s="6">
        <v>14376</v>
      </c>
      <c r="C18" s="2">
        <f>254997023.27/4</f>
        <v>63749255.817500003</v>
      </c>
      <c r="D18" s="2">
        <v>216095168.28</v>
      </c>
      <c r="E18" s="3">
        <v>0.53</v>
      </c>
      <c r="F18" s="2">
        <f t="shared" si="1"/>
        <v>158.82460423786739</v>
      </c>
      <c r="G18">
        <v>2005</v>
      </c>
      <c r="H18" s="2">
        <v>158.82460423786739</v>
      </c>
    </row>
    <row r="19" spans="1:8" x14ac:dyDescent="0.3">
      <c r="A19">
        <v>2006</v>
      </c>
      <c r="B19" s="6">
        <v>11579</v>
      </c>
      <c r="C19" s="2">
        <f>254997023.27/4</f>
        <v>63749255.817500003</v>
      </c>
      <c r="D19" s="2">
        <v>211938168.55000001</v>
      </c>
      <c r="E19" s="3">
        <v>0.73</v>
      </c>
      <c r="F19" s="2">
        <f>D19/1384971</f>
        <v>153.02715259019865</v>
      </c>
      <c r="G19">
        <v>2006</v>
      </c>
      <c r="H19" s="2">
        <v>153.02715259019865</v>
      </c>
    </row>
    <row r="20" spans="1:8" x14ac:dyDescent="0.3">
      <c r="A20">
        <v>2007</v>
      </c>
      <c r="B20" s="6">
        <v>14336</v>
      </c>
      <c r="C20" s="2">
        <f>254997023.27/4</f>
        <v>63749255.817500003</v>
      </c>
      <c r="D20" s="2">
        <v>204778942.25</v>
      </c>
      <c r="E20" s="3">
        <v>0.42</v>
      </c>
      <c r="F20" s="2">
        <f t="shared" ref="F20:G22" si="2">D20/1384971</f>
        <v>147.85792789163094</v>
      </c>
      <c r="G20">
        <v>2007</v>
      </c>
      <c r="H20" s="2">
        <v>147.85792789163094</v>
      </c>
    </row>
    <row r="21" spans="1:8" x14ac:dyDescent="0.3">
      <c r="A21">
        <v>2008</v>
      </c>
      <c r="B21" s="6">
        <v>14550</v>
      </c>
      <c r="C21" s="2">
        <f>254997023.27/4</f>
        <v>63749255.817500003</v>
      </c>
      <c r="D21" s="2">
        <v>192776882.61000001</v>
      </c>
      <c r="E21" s="3">
        <v>0.55000000000000004</v>
      </c>
      <c r="F21" s="2">
        <f t="shared" si="2"/>
        <v>139.19199940648579</v>
      </c>
      <c r="G21">
        <v>2008</v>
      </c>
      <c r="H21" s="2">
        <v>139.19199940648579</v>
      </c>
    </row>
    <row r="22" spans="1:8" x14ac:dyDescent="0.3">
      <c r="A22">
        <v>2009</v>
      </c>
      <c r="B22" s="6">
        <v>15151</v>
      </c>
      <c r="C22" s="2">
        <f>166656431/4</f>
        <v>41664107.75</v>
      </c>
      <c r="D22" s="2">
        <v>112609983.75</v>
      </c>
      <c r="E22" s="3">
        <v>7.2999999999999995E-2</v>
      </c>
      <c r="F22" s="2">
        <f t="shared" si="2"/>
        <v>81.308549962417985</v>
      </c>
      <c r="G22">
        <v>2009</v>
      </c>
      <c r="H22" s="2">
        <v>81.308549962417985</v>
      </c>
    </row>
    <row r="23" spans="1:8" x14ac:dyDescent="0.3">
      <c r="A23">
        <v>2010</v>
      </c>
      <c r="B23" s="6">
        <v>14398</v>
      </c>
      <c r="C23" s="2">
        <f>166656431/4</f>
        <v>41664107.75</v>
      </c>
      <c r="D23" s="2">
        <v>114430143.61</v>
      </c>
      <c r="E23" s="3">
        <v>7.9000000000000001E-2</v>
      </c>
      <c r="F23" s="2">
        <f>D23/1409351</f>
        <v>81.193502264517491</v>
      </c>
      <c r="G23">
        <v>2010</v>
      </c>
      <c r="H23" s="2">
        <v>81.193502264517491</v>
      </c>
    </row>
    <row r="24" spans="1:8" x14ac:dyDescent="0.3">
      <c r="A24">
        <v>2011</v>
      </c>
      <c r="B24" s="6">
        <v>11647</v>
      </c>
      <c r="C24" s="2">
        <f>166656431/4</f>
        <v>41664107.75</v>
      </c>
      <c r="D24" s="2">
        <v>103771022.45</v>
      </c>
      <c r="E24" s="3">
        <v>7.5999999999999998E-2</v>
      </c>
      <c r="F24" s="2">
        <f t="shared" ref="F24:G28" si="3">D24/1409351</f>
        <v>73.630360676651875</v>
      </c>
      <c r="G24">
        <v>2011</v>
      </c>
      <c r="H24" s="2">
        <v>73.630360676651875</v>
      </c>
    </row>
    <row r="25" spans="1:8" x14ac:dyDescent="0.3">
      <c r="A25">
        <v>2012</v>
      </c>
      <c r="B25" s="6">
        <v>12950</v>
      </c>
      <c r="C25" s="2">
        <f>166656431/4</f>
        <v>41664107.75</v>
      </c>
      <c r="D25" s="2">
        <v>97944788.620000005</v>
      </c>
      <c r="E25" s="3">
        <v>0.31</v>
      </c>
      <c r="F25" s="2">
        <f t="shared" si="3"/>
        <v>69.496377140967724</v>
      </c>
      <c r="G25">
        <v>2012</v>
      </c>
      <c r="H25" s="2">
        <v>69.496377140967724</v>
      </c>
    </row>
    <row r="26" spans="1:8" x14ac:dyDescent="0.3">
      <c r="A26">
        <v>2013</v>
      </c>
      <c r="B26" s="6">
        <v>16494</v>
      </c>
      <c r="C26" s="2">
        <v>18257015</v>
      </c>
      <c r="D26" s="2">
        <v>40125373.460000001</v>
      </c>
      <c r="E26" s="3">
        <v>0.1</v>
      </c>
      <c r="F26" s="2">
        <f t="shared" si="3"/>
        <v>28.470816326096198</v>
      </c>
      <c r="G26">
        <v>2013</v>
      </c>
      <c r="H26" s="2">
        <v>28.470816326096198</v>
      </c>
    </row>
    <row r="27" spans="1:8" x14ac:dyDescent="0.3">
      <c r="A27">
        <v>2014</v>
      </c>
      <c r="B27" s="6">
        <v>17578</v>
      </c>
      <c r="C27" s="2">
        <v>51834080</v>
      </c>
      <c r="D27" s="2">
        <v>107881482.83</v>
      </c>
      <c r="E27" s="3">
        <v>0.16</v>
      </c>
      <c r="F27" s="2">
        <f t="shared" si="3"/>
        <v>76.546923250489058</v>
      </c>
      <c r="G27">
        <v>2014</v>
      </c>
      <c r="H27" s="2">
        <v>76.546923250489058</v>
      </c>
    </row>
    <row r="28" spans="1:8" x14ac:dyDescent="0.3">
      <c r="A28">
        <v>2015</v>
      </c>
      <c r="B28" s="6">
        <v>20661</v>
      </c>
      <c r="C28" s="2">
        <v>22153760</v>
      </c>
      <c r="D28" s="2">
        <v>44479193.920000002</v>
      </c>
      <c r="E28" s="3">
        <v>0.08</v>
      </c>
      <c r="F28" s="2">
        <f t="shared" si="3"/>
        <v>31.560054180966986</v>
      </c>
      <c r="G28">
        <v>2015</v>
      </c>
      <c r="H28" s="2">
        <v>31.560054180966986</v>
      </c>
    </row>
    <row r="29" spans="1:8" x14ac:dyDescent="0.3">
      <c r="A29">
        <v>2016</v>
      </c>
      <c r="B29" s="6">
        <v>11676</v>
      </c>
      <c r="C29" s="2">
        <v>33082060</v>
      </c>
      <c r="D29" s="2">
        <v>60008081.259999998</v>
      </c>
      <c r="E29" s="3">
        <v>0.11</v>
      </c>
      <c r="F29" s="2">
        <f>D29/1406810</f>
        <v>42.655427001514063</v>
      </c>
      <c r="G29">
        <v>2016</v>
      </c>
      <c r="H29" s="2">
        <v>42.655427001514063</v>
      </c>
    </row>
    <row r="30" spans="1:8" x14ac:dyDescent="0.3">
      <c r="A30">
        <v>2017</v>
      </c>
      <c r="C30" s="2">
        <v>19448320</v>
      </c>
      <c r="D30" s="2">
        <v>32933777.309999999</v>
      </c>
      <c r="E30" s="3">
        <v>0.08</v>
      </c>
      <c r="F30" s="2">
        <f>D30/1406810</f>
        <v>23.410252493229361</v>
      </c>
      <c r="G30">
        <v>2017</v>
      </c>
      <c r="H30" s="2">
        <v>23.410252493229361</v>
      </c>
    </row>
    <row r="31" spans="1:8" x14ac:dyDescent="0.3">
      <c r="A31">
        <v>2018</v>
      </c>
      <c r="B31" s="6">
        <v>6834</v>
      </c>
      <c r="C31" s="2"/>
      <c r="D31" s="2"/>
      <c r="E31" s="3"/>
      <c r="G31">
        <v>2019</v>
      </c>
      <c r="H31" s="2">
        <v>48.483520553592875</v>
      </c>
    </row>
    <row r="32" spans="1:8" x14ac:dyDescent="0.3">
      <c r="A32">
        <v>2019</v>
      </c>
      <c r="B32" s="6">
        <v>7305</v>
      </c>
      <c r="C32" s="2">
        <v>43794020</v>
      </c>
      <c r="D32" s="2">
        <v>68207101.549999997</v>
      </c>
      <c r="E32" s="3">
        <v>0.15</v>
      </c>
      <c r="F32" s="2">
        <f>D32/1406810</f>
        <v>48.483520553592875</v>
      </c>
      <c r="G32">
        <v>2022</v>
      </c>
      <c r="H32" s="2">
        <v>1.4533973191746026</v>
      </c>
    </row>
    <row r="33" spans="1:8" x14ac:dyDescent="0.3">
      <c r="A33">
        <v>2020</v>
      </c>
      <c r="C33" s="2"/>
      <c r="D33" s="2"/>
      <c r="E33" s="3"/>
      <c r="G33">
        <v>2023</v>
      </c>
      <c r="H33" s="2">
        <v>10.681714116027628</v>
      </c>
    </row>
    <row r="34" spans="1:8" x14ac:dyDescent="0.3">
      <c r="A34">
        <v>2021</v>
      </c>
      <c r="C34" s="2"/>
      <c r="D34" s="2"/>
      <c r="E34" s="3"/>
    </row>
    <row r="35" spans="1:8" x14ac:dyDescent="0.3">
      <c r="A35">
        <v>2022</v>
      </c>
      <c r="B35" s="6">
        <v>8525</v>
      </c>
      <c r="C35" s="2">
        <v>2000000</v>
      </c>
      <c r="D35" s="2">
        <v>2040960.8</v>
      </c>
      <c r="E35" s="3">
        <v>4.1999999999999997E-3</v>
      </c>
      <c r="F35" s="2">
        <f>D35/1404269</f>
        <v>1.4533973191746026</v>
      </c>
    </row>
    <row r="36" spans="1:8" x14ac:dyDescent="0.3">
      <c r="A36">
        <v>2023</v>
      </c>
      <c r="B36" s="6">
        <v>13019</v>
      </c>
      <c r="C36" s="2">
        <v>15000000</v>
      </c>
      <c r="D36" s="2">
        <v>15000000</v>
      </c>
      <c r="E36" s="3">
        <v>2.93E-2</v>
      </c>
      <c r="F36" s="2">
        <f>D36/1404269</f>
        <v>10.681714116027628</v>
      </c>
    </row>
    <row r="37" spans="1:8" x14ac:dyDescent="0.3">
      <c r="A37" t="s">
        <v>32</v>
      </c>
      <c r="B37" s="6">
        <f>AVERAGE(B2:B29,B31,B32,B35,B36)</f>
        <v>11468.34375</v>
      </c>
      <c r="C37" s="2">
        <f>AVERAGE(C2:C36)</f>
        <v>122503812.60468748</v>
      </c>
      <c r="D37" s="2">
        <f>AVERAGE(D8:D36)</f>
        <v>736257585.70615375</v>
      </c>
      <c r="E37" s="3">
        <f>AVERAGE(E8:E36)</f>
        <v>0.38082692307692317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AF88B-F470-4CF8-BF13-2F42CC322D0F}">
  <dimension ref="A1:F27"/>
  <sheetViews>
    <sheetView topLeftCell="A4" workbookViewId="0">
      <selection activeCell="H24" sqref="H24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1.5546875" bestFit="1" customWidth="1"/>
    <col min="5" max="5" width="16.21875" style="3" bestFit="1" customWidth="1"/>
  </cols>
  <sheetData>
    <row r="1" spans="1:6" x14ac:dyDescent="0.3">
      <c r="A1" s="10" t="s">
        <v>0</v>
      </c>
      <c r="B1" s="11" t="s">
        <v>7</v>
      </c>
      <c r="C1" s="11" t="s">
        <v>8</v>
      </c>
      <c r="D1" s="11" t="s">
        <v>6</v>
      </c>
      <c r="E1" s="12" t="s">
        <v>23</v>
      </c>
    </row>
    <row r="2" spans="1:6" x14ac:dyDescent="0.3">
      <c r="A2" s="13">
        <v>2003</v>
      </c>
      <c r="B2" s="2">
        <v>82726480</v>
      </c>
      <c r="C2" s="2">
        <v>352933251.64999998</v>
      </c>
      <c r="D2">
        <f>58832/2</f>
        <v>29416</v>
      </c>
      <c r="E2" s="14">
        <f>B2/142191657</f>
        <v>0.58179559719175367</v>
      </c>
    </row>
    <row r="3" spans="1:6" x14ac:dyDescent="0.3">
      <c r="A3" s="13">
        <v>2004</v>
      </c>
      <c r="B3" s="2">
        <v>113693449</v>
      </c>
      <c r="C3" s="2">
        <v>432711229.76999998</v>
      </c>
      <c r="D3">
        <f>60964/2</f>
        <v>30482</v>
      </c>
      <c r="E3" s="14">
        <f>B3/185866482</f>
        <v>0.61169419992572949</v>
      </c>
    </row>
    <row r="4" spans="1:6" x14ac:dyDescent="0.3">
      <c r="A4" s="13">
        <v>2005</v>
      </c>
      <c r="B4" s="2">
        <v>178839822</v>
      </c>
      <c r="C4" s="2">
        <v>606225452.09000003</v>
      </c>
      <c r="D4" s="7">
        <f>45633/2</f>
        <v>22816.5</v>
      </c>
      <c r="E4" s="14">
        <f>B4/212374692</f>
        <v>0.84209573332777332</v>
      </c>
    </row>
    <row r="5" spans="1:6" x14ac:dyDescent="0.3">
      <c r="A5" s="13">
        <v>2006</v>
      </c>
      <c r="B5" s="2">
        <v>142809874</v>
      </c>
      <c r="C5" s="2">
        <v>474779866.18000001</v>
      </c>
      <c r="D5" s="7">
        <f>202763/5</f>
        <v>40552.6</v>
      </c>
      <c r="E5" s="14">
        <f>B5/211174539</f>
        <v>0.67626464192257574</v>
      </c>
    </row>
    <row r="6" spans="1:6" x14ac:dyDescent="0.3">
      <c r="A6" s="13">
        <v>2007</v>
      </c>
      <c r="B6" s="2">
        <v>325052228</v>
      </c>
      <c r="C6" s="2">
        <v>1044151034.72</v>
      </c>
      <c r="D6" s="6">
        <f>166445/5</f>
        <v>33289</v>
      </c>
      <c r="E6" s="14">
        <f>B6/277544369</f>
        <v>1.1711721234740669</v>
      </c>
    </row>
    <row r="7" spans="1:6" x14ac:dyDescent="0.3">
      <c r="A7" s="13">
        <v>2008</v>
      </c>
      <c r="B7" s="2">
        <v>349114016</v>
      </c>
      <c r="C7" s="2">
        <v>1055716036.4299999</v>
      </c>
      <c r="D7" s="6">
        <f>67956/5</f>
        <v>13591.2</v>
      </c>
      <c r="E7" s="14">
        <f>B7/380111929</f>
        <v>0.91845056512288514</v>
      </c>
    </row>
    <row r="8" spans="1:6" x14ac:dyDescent="0.3">
      <c r="A8" s="13">
        <v>2009</v>
      </c>
      <c r="B8" s="2">
        <v>431326141</v>
      </c>
      <c r="C8" s="2">
        <v>1165790709.3199999</v>
      </c>
      <c r="D8">
        <v>16952</v>
      </c>
      <c r="E8" s="14">
        <f>B8/387187491</f>
        <v>1.1139981301720308</v>
      </c>
      <c r="F8" t="s">
        <v>56</v>
      </c>
    </row>
    <row r="9" spans="1:6" x14ac:dyDescent="0.3">
      <c r="A9" s="13">
        <v>2010</v>
      </c>
      <c r="B9" s="2">
        <v>603219000</v>
      </c>
      <c r="C9" s="2">
        <v>1656740138.99</v>
      </c>
      <c r="D9">
        <v>22714</v>
      </c>
      <c r="E9" s="14">
        <f>B9/392405000</f>
        <v>1.5372357640702845</v>
      </c>
    </row>
    <row r="10" spans="1:6" x14ac:dyDescent="0.3">
      <c r="A10" s="13">
        <v>2011</v>
      </c>
      <c r="B10" s="2">
        <v>639305500</v>
      </c>
      <c r="C10" s="2">
        <v>1592291038.3699999</v>
      </c>
      <c r="D10" s="7">
        <f>68994/5</f>
        <v>13798.8</v>
      </c>
      <c r="E10" s="14">
        <f>B10/527587000</f>
        <v>1.2117537012852857</v>
      </c>
    </row>
    <row r="11" spans="1:6" x14ac:dyDescent="0.3">
      <c r="A11" s="13">
        <v>2012</v>
      </c>
      <c r="B11" s="2">
        <v>1219772068</v>
      </c>
      <c r="C11" s="2">
        <v>2867463719.0599999</v>
      </c>
      <c r="D11" s="7">
        <f>68789/5</f>
        <v>13757.8</v>
      </c>
      <c r="E11" s="14">
        <f>B11/1043420085</f>
        <v>1.1690134065226472</v>
      </c>
    </row>
    <row r="12" spans="1:6" ht="15" thickBot="1" x14ac:dyDescent="0.35">
      <c r="A12" s="15"/>
      <c r="B12" s="16"/>
      <c r="C12" s="16">
        <f>AVERAGE(C2:C11)</f>
        <v>1124880247.658</v>
      </c>
      <c r="D12" s="17"/>
      <c r="E12" s="18"/>
    </row>
    <row r="13" spans="1:6" ht="15" thickBot="1" x14ac:dyDescent="0.35"/>
    <row r="14" spans="1:6" x14ac:dyDescent="0.3">
      <c r="A14" s="10" t="s">
        <v>0</v>
      </c>
      <c r="B14" s="11" t="s">
        <v>7</v>
      </c>
      <c r="C14" s="11" t="s">
        <v>8</v>
      </c>
      <c r="D14" s="11" t="s">
        <v>6</v>
      </c>
      <c r="E14" s="12" t="s">
        <v>23</v>
      </c>
    </row>
    <row r="15" spans="1:6" x14ac:dyDescent="0.3">
      <c r="A15">
        <v>2001</v>
      </c>
      <c r="B15" s="2">
        <v>42234188</v>
      </c>
      <c r="C15" s="2">
        <v>218105113.69999999</v>
      </c>
      <c r="D15" s="6">
        <v>42067</v>
      </c>
      <c r="E15" s="3">
        <f>B15/91782072</f>
        <v>0.46015727341609808</v>
      </c>
    </row>
    <row r="16" spans="1:6" x14ac:dyDescent="0.3">
      <c r="A16">
        <v>2002</v>
      </c>
      <c r="B16" s="2">
        <v>42234188</v>
      </c>
      <c r="C16" s="2">
        <v>180182322.53999999</v>
      </c>
      <c r="D16" s="6">
        <v>67081</v>
      </c>
      <c r="E16" s="3">
        <f>B16/157324838</f>
        <v>0.26845213087077835</v>
      </c>
    </row>
    <row r="17" spans="1:6" x14ac:dyDescent="0.3">
      <c r="A17">
        <v>2003</v>
      </c>
      <c r="B17" s="2">
        <v>42234188</v>
      </c>
      <c r="C17" s="2">
        <v>160741076.88999999</v>
      </c>
      <c r="D17" s="6">
        <v>69601</v>
      </c>
      <c r="E17" s="3">
        <f>B17/157540806</f>
        <v>0.26808411783801589</v>
      </c>
    </row>
    <row r="18" spans="1:6" x14ac:dyDescent="0.3">
      <c r="A18">
        <v>2004</v>
      </c>
      <c r="B18" s="2">
        <v>42234188</v>
      </c>
      <c r="C18" s="2">
        <v>143164086.31999999</v>
      </c>
      <c r="D18" s="6">
        <v>55563</v>
      </c>
      <c r="E18" s="3">
        <f>B18/185866482</f>
        <v>0.22722864039574386</v>
      </c>
    </row>
    <row r="19" spans="1:6" x14ac:dyDescent="0.3">
      <c r="A19">
        <v>2005</v>
      </c>
      <c r="B19" s="2">
        <v>42234188</v>
      </c>
      <c r="C19" s="2">
        <v>140410054.05000001</v>
      </c>
      <c r="D19" s="6">
        <v>76932</v>
      </c>
      <c r="E19" s="3">
        <f>B19/203134788</f>
        <v>0.20791213762952312</v>
      </c>
      <c r="F19" t="s">
        <v>57</v>
      </c>
    </row>
    <row r="20" spans="1:6" x14ac:dyDescent="0.3">
      <c r="A20">
        <v>2006</v>
      </c>
      <c r="B20" s="2">
        <v>42234188</v>
      </c>
      <c r="C20" s="2">
        <v>135667032.25</v>
      </c>
      <c r="D20" s="6">
        <v>64676</v>
      </c>
      <c r="E20" s="3">
        <f>B20/198420250</f>
        <v>0.21285220636502575</v>
      </c>
    </row>
    <row r="21" spans="1:6" x14ac:dyDescent="0.3">
      <c r="A21">
        <v>2007</v>
      </c>
      <c r="B21" s="2">
        <v>42234188</v>
      </c>
      <c r="C21" s="2">
        <v>127715640.13</v>
      </c>
      <c r="D21" s="6">
        <v>84833</v>
      </c>
      <c r="E21" s="3">
        <f>B21/277544369</f>
        <v>0.15217094172067314</v>
      </c>
    </row>
    <row r="22" spans="1:6" x14ac:dyDescent="0.3">
      <c r="A22">
        <v>2008</v>
      </c>
      <c r="B22" s="2">
        <v>42234188</v>
      </c>
      <c r="C22" s="2">
        <v>114150799.84</v>
      </c>
      <c r="D22" s="6">
        <v>86565</v>
      </c>
      <c r="E22" s="3">
        <f>B22/370241816</f>
        <v>0.1140719015920125</v>
      </c>
    </row>
    <row r="23" spans="1:6" x14ac:dyDescent="0.3">
      <c r="A23">
        <v>2009</v>
      </c>
      <c r="B23" s="2">
        <v>134335229.83000001</v>
      </c>
      <c r="C23" s="2">
        <v>368951520.66000003</v>
      </c>
      <c r="D23" s="6">
        <v>125387</v>
      </c>
      <c r="E23" s="3">
        <f>B23/372167671</f>
        <v>0.36095351718500024</v>
      </c>
    </row>
    <row r="24" spans="1:6" x14ac:dyDescent="0.3">
      <c r="A24">
        <v>2010</v>
      </c>
      <c r="B24" s="2">
        <v>134335229.83000001</v>
      </c>
      <c r="C24" s="2">
        <v>334583047.69</v>
      </c>
      <c r="D24" s="6">
        <v>109026</v>
      </c>
      <c r="E24" s="3">
        <f>B24/392405000</f>
        <v>0.34233822155680999</v>
      </c>
    </row>
    <row r="25" spans="1:6" x14ac:dyDescent="0.3">
      <c r="A25">
        <v>2011</v>
      </c>
      <c r="B25" s="2">
        <v>134335229.83000001</v>
      </c>
      <c r="C25" s="2">
        <v>315797850.94999999</v>
      </c>
      <c r="D25" s="6">
        <v>130843</v>
      </c>
      <c r="E25" s="3">
        <f>B25/527587000</f>
        <v>0.25462194828530654</v>
      </c>
    </row>
    <row r="26" spans="1:6" x14ac:dyDescent="0.3">
      <c r="A26">
        <v>2012</v>
      </c>
      <c r="B26" s="2">
        <v>134335229.83000001</v>
      </c>
      <c r="C26" s="2">
        <v>295242747.25999999</v>
      </c>
      <c r="D26" s="6">
        <v>53313</v>
      </c>
      <c r="E26" s="3">
        <f>B26/1043420085</f>
        <v>0.12874510636816044</v>
      </c>
    </row>
    <row r="27" spans="1:6" x14ac:dyDescent="0.3">
      <c r="A27" t="s">
        <v>32</v>
      </c>
      <c r="C27" s="2">
        <f>AVERAGE(C15:C26)</f>
        <v>211225941.02333331</v>
      </c>
      <c r="D27" s="6">
        <f>AVERAGE(D15:D26)</f>
        <v>80490.583333333328</v>
      </c>
      <c r="E27" s="3">
        <f>AVERAGE(E15:E26)</f>
        <v>0.24979901193526233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793BA-CBC4-47DB-8670-F9B41E1791D4}">
  <dimension ref="A1:D10"/>
  <sheetViews>
    <sheetView workbookViewId="0">
      <selection activeCell="G21" sqref="G21"/>
    </sheetView>
  </sheetViews>
  <sheetFormatPr defaultRowHeight="14.4" x14ac:dyDescent="0.3"/>
  <cols>
    <col min="2" max="2" width="16.21875" style="2" bestFit="1" customWidth="1"/>
  </cols>
  <sheetData>
    <row r="1" spans="1:4" x14ac:dyDescent="0.3">
      <c r="A1" t="s">
        <v>0</v>
      </c>
      <c r="B1" t="s">
        <v>1</v>
      </c>
      <c r="C1" t="s">
        <v>2</v>
      </c>
    </row>
    <row r="2" spans="1:4" x14ac:dyDescent="0.3">
      <c r="A2">
        <v>1994</v>
      </c>
      <c r="B2" s="2">
        <v>84777072.930000007</v>
      </c>
      <c r="C2" s="3">
        <v>1</v>
      </c>
      <c r="D2" t="s">
        <v>5</v>
      </c>
    </row>
    <row r="3" spans="1:4" x14ac:dyDescent="0.3">
      <c r="A3">
        <v>1996</v>
      </c>
      <c r="B3" s="2">
        <v>135883494</v>
      </c>
      <c r="C3" s="3">
        <v>1</v>
      </c>
    </row>
    <row r="4" spans="1:4" x14ac:dyDescent="0.3">
      <c r="A4">
        <v>2012</v>
      </c>
      <c r="B4" s="2">
        <v>42972145.549999997</v>
      </c>
      <c r="C4" s="3">
        <v>0.13789999999999999</v>
      </c>
    </row>
    <row r="5" spans="1:4" x14ac:dyDescent="0.3">
      <c r="A5">
        <v>2013</v>
      </c>
      <c r="B5" s="2">
        <f>40875994.53/3</f>
        <v>13625331.51</v>
      </c>
      <c r="C5" s="3">
        <v>6.1600000000000002E-2</v>
      </c>
    </row>
    <row r="6" spans="1:4" x14ac:dyDescent="0.3">
      <c r="A6">
        <v>2014</v>
      </c>
      <c r="B6" s="2">
        <f>40875994.53/3</f>
        <v>13625331.51</v>
      </c>
      <c r="C6" s="3">
        <v>3.4000000000000002E-2</v>
      </c>
    </row>
    <row r="7" spans="1:4" x14ac:dyDescent="0.3">
      <c r="A7">
        <v>2015</v>
      </c>
      <c r="B7" s="2">
        <f>40875994.53/3</f>
        <v>13625331.51</v>
      </c>
      <c r="C7" s="3">
        <v>2.47E-2</v>
      </c>
    </row>
    <row r="8" spans="1:4" x14ac:dyDescent="0.3">
      <c r="A8">
        <v>2016</v>
      </c>
      <c r="B8" s="2">
        <v>3788290.6</v>
      </c>
      <c r="C8" s="3">
        <v>7.1999999999999998E-3</v>
      </c>
    </row>
    <row r="10" spans="1:4" x14ac:dyDescent="0.3">
      <c r="C10" t="s">
        <v>3</v>
      </c>
      <c r="D10" t="s">
        <v>4</v>
      </c>
    </row>
  </sheetData>
  <pageMargins left="0.511811024" right="0.511811024" top="0.78740157499999996" bottom="0.78740157499999996" header="0.31496062000000002" footer="0.3149606200000000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3C667-E075-4B75-A388-7E68D32E03A2}">
  <dimension ref="A1:D5"/>
  <sheetViews>
    <sheetView workbookViewId="0">
      <selection activeCell="D6" sqref="D6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6.21875" style="3" bestFit="1" customWidth="1"/>
    <col min="5" max="5" width="56.88671875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23</v>
      </c>
    </row>
    <row r="2" spans="1:4" x14ac:dyDescent="0.3">
      <c r="A2">
        <v>1997</v>
      </c>
      <c r="D2" s="3">
        <v>0.27</v>
      </c>
    </row>
    <row r="3" spans="1:4" x14ac:dyDescent="0.3">
      <c r="A3">
        <v>2018</v>
      </c>
      <c r="B3" s="2">
        <v>40000000</v>
      </c>
      <c r="C3" s="2">
        <v>63325908</v>
      </c>
      <c r="D3" s="3">
        <v>0.17699999999999999</v>
      </c>
    </row>
    <row r="4" spans="1:4" x14ac:dyDescent="0.3">
      <c r="A4">
        <v>2021</v>
      </c>
      <c r="B4" s="2">
        <v>41077366</v>
      </c>
      <c r="C4" s="2">
        <v>41918646.890000001</v>
      </c>
      <c r="D4" s="3">
        <v>6.3E-2</v>
      </c>
    </row>
    <row r="5" spans="1:4" x14ac:dyDescent="0.3">
      <c r="D5" s="3">
        <f>AVERAGE(D2:D4)</f>
        <v>0.17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4E7DF-6FEB-4587-9340-351074D121AE}">
  <dimension ref="A1:E11"/>
  <sheetViews>
    <sheetView workbookViewId="0">
      <selection activeCell="G27" sqref="G27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1.5546875" bestFit="1" customWidth="1"/>
    <col min="5" max="5" width="16.21875" style="3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6</v>
      </c>
      <c r="E1" t="s">
        <v>23</v>
      </c>
    </row>
    <row r="2" spans="1:5" x14ac:dyDescent="0.3">
      <c r="A2">
        <v>2005</v>
      </c>
      <c r="D2">
        <v>3042</v>
      </c>
    </row>
    <row r="3" spans="1:5" x14ac:dyDescent="0.3">
      <c r="A3">
        <v>2006</v>
      </c>
      <c r="B3" s="2">
        <v>26239529</v>
      </c>
      <c r="C3" s="2">
        <v>87234864.920000002</v>
      </c>
      <c r="D3">
        <v>4934</v>
      </c>
    </row>
    <row r="4" spans="1:5" x14ac:dyDescent="0.3">
      <c r="A4">
        <v>2007</v>
      </c>
      <c r="B4" s="2">
        <v>13232213.300000001</v>
      </c>
      <c r="C4" s="2">
        <v>42505259.210000001</v>
      </c>
      <c r="D4" s="7">
        <v>5481</v>
      </c>
    </row>
    <row r="5" spans="1:5" x14ac:dyDescent="0.3">
      <c r="A5">
        <v>2008</v>
      </c>
      <c r="B5" s="2">
        <v>28513846.059999999</v>
      </c>
      <c r="C5" s="2">
        <v>86225482.700000003</v>
      </c>
      <c r="D5" s="7">
        <v>6791</v>
      </c>
    </row>
    <row r="6" spans="1:5" x14ac:dyDescent="0.3">
      <c r="A6">
        <v>2020</v>
      </c>
      <c r="D6" s="6">
        <v>240</v>
      </c>
    </row>
    <row r="7" spans="1:5" x14ac:dyDescent="0.3">
      <c r="A7">
        <v>2021</v>
      </c>
      <c r="D7" s="6">
        <v>600</v>
      </c>
    </row>
    <row r="8" spans="1:5" x14ac:dyDescent="0.3">
      <c r="A8">
        <v>2022</v>
      </c>
      <c r="D8">
        <v>1600</v>
      </c>
    </row>
    <row r="9" spans="1:5" x14ac:dyDescent="0.3">
      <c r="A9">
        <v>2023</v>
      </c>
      <c r="B9" s="2">
        <v>30000000</v>
      </c>
      <c r="C9" s="2">
        <v>30000000</v>
      </c>
      <c r="D9">
        <v>1600</v>
      </c>
      <c r="E9" s="3">
        <v>0.1762</v>
      </c>
    </row>
    <row r="10" spans="1:5" x14ac:dyDescent="0.3">
      <c r="C10" s="2">
        <f>AVERAGE(C3:C9)</f>
        <v>61491401.707499996</v>
      </c>
      <c r="D10" s="7">
        <f>AVERAGE(D2:D9)</f>
        <v>3036</v>
      </c>
    </row>
    <row r="11" spans="1:5" x14ac:dyDescent="0.3">
      <c r="D11" s="7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6D168-3CFE-41A5-8371-501616F1ABF8}">
  <dimension ref="A1:E9"/>
  <sheetViews>
    <sheetView workbookViewId="0">
      <selection activeCell="D10" sqref="D10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6.21875" style="3" bestFit="1" customWidth="1"/>
    <col min="5" max="5" width="56.88671875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23</v>
      </c>
    </row>
    <row r="2" spans="1:5" x14ac:dyDescent="0.3">
      <c r="A2">
        <v>1999</v>
      </c>
      <c r="B2" s="8">
        <v>25850457.710000001</v>
      </c>
      <c r="C2" s="2">
        <v>164589921.11000001</v>
      </c>
      <c r="D2" s="3">
        <v>0.436</v>
      </c>
    </row>
    <row r="3" spans="1:5" x14ac:dyDescent="0.3">
      <c r="A3">
        <v>2000</v>
      </c>
      <c r="B3" s="8">
        <v>13692500</v>
      </c>
      <c r="C3" s="2">
        <v>78372515.340000004</v>
      </c>
      <c r="D3" s="3">
        <v>0.49730000000000002</v>
      </c>
    </row>
    <row r="4" spans="1:5" x14ac:dyDescent="0.3">
      <c r="A4">
        <v>2001</v>
      </c>
      <c r="B4" s="8">
        <v>17241596</v>
      </c>
      <c r="C4" s="2">
        <v>89038772.469999999</v>
      </c>
      <c r="D4" s="3">
        <v>0.35349999999999998</v>
      </c>
    </row>
    <row r="5" spans="1:5" x14ac:dyDescent="0.3">
      <c r="A5">
        <v>2002</v>
      </c>
      <c r="B5" s="2">
        <v>17538882.789999999</v>
      </c>
      <c r="C5" s="2">
        <v>74825556.859999999</v>
      </c>
      <c r="D5" s="3">
        <v>0.28179999999999999</v>
      </c>
    </row>
    <row r="6" spans="1:5" x14ac:dyDescent="0.3">
      <c r="A6">
        <v>2021</v>
      </c>
      <c r="B6" s="2">
        <v>2676174.2799999998</v>
      </c>
      <c r="C6" s="2">
        <v>3219422.94</v>
      </c>
      <c r="D6" s="3">
        <v>1.26E-2</v>
      </c>
    </row>
    <row r="7" spans="1:5" x14ac:dyDescent="0.3">
      <c r="C7" s="2">
        <f>AVERAGE(C2:C6)</f>
        <v>82009237.744000003</v>
      </c>
      <c r="D7" s="3">
        <f>AVERAGE(D2:D6)</f>
        <v>0.31623999999999997</v>
      </c>
    </row>
    <row r="9" spans="1:5" x14ac:dyDescent="0.3">
      <c r="E9" s="9" t="s">
        <v>40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06E31-DBB4-4D82-BCFC-D5A25CD8E562}">
  <dimension ref="A1:E8"/>
  <sheetViews>
    <sheetView workbookViewId="0">
      <selection activeCell="C9" sqref="C9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8.33203125" style="6" customWidth="1"/>
    <col min="5" max="5" width="16.21875" style="3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39</v>
      </c>
      <c r="E1" t="s">
        <v>23</v>
      </c>
    </row>
    <row r="2" spans="1:5" x14ac:dyDescent="0.3">
      <c r="A2">
        <v>2002</v>
      </c>
      <c r="B2" s="2">
        <v>481000000</v>
      </c>
      <c r="C2" s="2">
        <v>2483972455.9000001</v>
      </c>
      <c r="D2" s="6">
        <v>34000</v>
      </c>
      <c r="E2" s="3">
        <v>0.06</v>
      </c>
    </row>
    <row r="3" spans="1:5" x14ac:dyDescent="0.3">
      <c r="A3">
        <v>2003</v>
      </c>
      <c r="B3" s="2">
        <v>662000000</v>
      </c>
      <c r="C3" s="2">
        <v>2824268754</v>
      </c>
      <c r="D3" s="6">
        <v>55000</v>
      </c>
      <c r="E3" s="3">
        <v>0.06</v>
      </c>
    </row>
    <row r="4" spans="1:5" x14ac:dyDescent="0.3">
      <c r="A4">
        <v>2020</v>
      </c>
      <c r="D4" s="6">
        <v>43831</v>
      </c>
    </row>
    <row r="5" spans="1:5" x14ac:dyDescent="0.3">
      <c r="A5">
        <v>2021</v>
      </c>
      <c r="D5" s="6">
        <v>24578</v>
      </c>
    </row>
    <row r="6" spans="1:5" x14ac:dyDescent="0.3">
      <c r="A6">
        <v>2022</v>
      </c>
      <c r="D6" s="6">
        <v>12005</v>
      </c>
    </row>
    <row r="7" spans="1:5" x14ac:dyDescent="0.3">
      <c r="A7">
        <v>2023</v>
      </c>
      <c r="B7" s="2">
        <v>320000000</v>
      </c>
      <c r="C7" s="2">
        <v>320000000</v>
      </c>
      <c r="D7" s="6">
        <v>15328</v>
      </c>
    </row>
    <row r="8" spans="1:5" x14ac:dyDescent="0.3">
      <c r="C8" s="2">
        <f>AVERAGE(C2:C7)</f>
        <v>1876080403.3</v>
      </c>
      <c r="D8" s="6">
        <f>AVERAGE(D2:D7)</f>
        <v>30790.333333333332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1799A-4E72-4256-8CC1-44D8D9D8D857}">
  <dimension ref="A1:D13"/>
  <sheetViews>
    <sheetView workbookViewId="0">
      <selection activeCell="D14" sqref="D14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6.21875" style="3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23</v>
      </c>
    </row>
    <row r="2" spans="1:4" x14ac:dyDescent="0.3">
      <c r="A2">
        <v>1998</v>
      </c>
      <c r="B2" s="2">
        <v>2500000</v>
      </c>
      <c r="C2" s="2">
        <v>18862224.75</v>
      </c>
      <c r="D2" s="3">
        <v>0.317</v>
      </c>
    </row>
    <row r="3" spans="1:4" x14ac:dyDescent="0.3">
      <c r="A3">
        <v>1999</v>
      </c>
      <c r="B3" s="2">
        <v>4000000</v>
      </c>
      <c r="C3" s="2">
        <v>25468008.800000001</v>
      </c>
      <c r="D3" s="3">
        <v>0.14000000000000001</v>
      </c>
    </row>
    <row r="4" spans="1:4" x14ac:dyDescent="0.3">
      <c r="A4">
        <v>2000</v>
      </c>
      <c r="B4" s="2">
        <v>4500000</v>
      </c>
      <c r="C4" s="2">
        <v>25756897.5</v>
      </c>
      <c r="D4" s="3">
        <v>9.8000000000000004E-2</v>
      </c>
    </row>
    <row r="5" spans="1:4" x14ac:dyDescent="0.3">
      <c r="A5">
        <v>2001</v>
      </c>
      <c r="B5" s="2">
        <v>10000000</v>
      </c>
      <c r="C5" s="2">
        <v>51641839</v>
      </c>
      <c r="D5" s="3">
        <v>0.20699999999999999</v>
      </c>
    </row>
    <row r="6" spans="1:4" x14ac:dyDescent="0.3">
      <c r="A6">
        <v>2002</v>
      </c>
      <c r="B6" s="2">
        <v>14000000</v>
      </c>
      <c r="C6" s="2">
        <v>59727738</v>
      </c>
      <c r="D6" s="3">
        <v>0.27400000000000002</v>
      </c>
    </row>
    <row r="7" spans="1:4" x14ac:dyDescent="0.3">
      <c r="A7">
        <v>2003</v>
      </c>
      <c r="B7" s="2">
        <v>20000000</v>
      </c>
      <c r="C7" s="2">
        <v>76118938</v>
      </c>
      <c r="D7" s="3">
        <v>0.42799999999999999</v>
      </c>
    </row>
    <row r="8" spans="1:4" x14ac:dyDescent="0.3">
      <c r="A8">
        <v>2004</v>
      </c>
      <c r="B8" s="2">
        <v>25000000</v>
      </c>
      <c r="C8" s="2">
        <v>84744192.5</v>
      </c>
      <c r="D8" s="3">
        <v>0.41299999999999998</v>
      </c>
    </row>
    <row r="9" spans="1:4" x14ac:dyDescent="0.3">
      <c r="A9">
        <v>2005</v>
      </c>
      <c r="B9" s="2">
        <v>31000000</v>
      </c>
      <c r="C9" s="2">
        <v>103061332.09999999</v>
      </c>
      <c r="D9" s="3">
        <v>0.372</v>
      </c>
    </row>
    <row r="10" spans="1:4" x14ac:dyDescent="0.3">
      <c r="A10">
        <v>2006</v>
      </c>
      <c r="B10" s="2">
        <v>35000000</v>
      </c>
      <c r="C10" s="2">
        <v>112428967</v>
      </c>
      <c r="D10" s="3">
        <v>0.29399999999999998</v>
      </c>
    </row>
    <row r="11" spans="1:4" x14ac:dyDescent="0.3">
      <c r="A11">
        <v>2007</v>
      </c>
      <c r="B11" s="2">
        <v>35000000</v>
      </c>
      <c r="C11" s="2">
        <v>105839524</v>
      </c>
      <c r="D11" s="3">
        <v>0.255</v>
      </c>
    </row>
    <row r="12" spans="1:4" x14ac:dyDescent="0.3">
      <c r="A12">
        <v>2008</v>
      </c>
      <c r="B12" s="2">
        <v>45000000</v>
      </c>
      <c r="C12" s="2">
        <v>121626252</v>
      </c>
      <c r="D12" s="3">
        <v>0.30499999999999999</v>
      </c>
    </row>
    <row r="13" spans="1:4" x14ac:dyDescent="0.3">
      <c r="C13" s="2">
        <f>AVERAGE(C2:C12)</f>
        <v>71388719.422727272</v>
      </c>
      <c r="D13" s="3">
        <f>AVERAGE(D2:D12)</f>
        <v>0.28209090909090911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21060-D763-4C2F-B9D5-D6E04E7DA7A1}">
  <dimension ref="A1:E11"/>
  <sheetViews>
    <sheetView workbookViewId="0">
      <selection activeCell="C3" activeCellId="1" sqref="C2 C3"/>
    </sheetView>
  </sheetViews>
  <sheetFormatPr defaultRowHeight="14.4" x14ac:dyDescent="0.3"/>
  <cols>
    <col min="1" max="1" width="11.21875" bestFit="1" customWidth="1"/>
    <col min="2" max="2" width="17.88671875" style="2" bestFit="1" customWidth="1"/>
    <col min="3" max="3" width="18.33203125" style="2" bestFit="1" customWidth="1"/>
    <col min="4" max="4" width="11.5546875" bestFit="1" customWidth="1"/>
    <col min="5" max="5" width="16.21875" style="3" bestFit="1" customWidth="1"/>
  </cols>
  <sheetData>
    <row r="1" spans="1:5" x14ac:dyDescent="0.3">
      <c r="A1" t="s">
        <v>0</v>
      </c>
      <c r="B1" t="s">
        <v>7</v>
      </c>
      <c r="C1" t="s">
        <v>8</v>
      </c>
      <c r="D1" t="s">
        <v>6</v>
      </c>
      <c r="E1" t="s">
        <v>23</v>
      </c>
    </row>
    <row r="2" spans="1:5" x14ac:dyDescent="0.3">
      <c r="A2">
        <v>2006</v>
      </c>
      <c r="B2" s="2">
        <v>7388707</v>
      </c>
      <c r="C2" s="2">
        <v>23734419.870000001</v>
      </c>
      <c r="D2">
        <v>1486</v>
      </c>
      <c r="E2" s="3">
        <v>0.15</v>
      </c>
    </row>
    <row r="3" spans="1:5" x14ac:dyDescent="0.3">
      <c r="A3">
        <v>2007</v>
      </c>
      <c r="B3" s="2">
        <v>11800000</v>
      </c>
      <c r="C3" s="2">
        <v>35683039.520000003</v>
      </c>
      <c r="D3">
        <v>2302</v>
      </c>
    </row>
    <row r="4" spans="1:5" x14ac:dyDescent="0.3">
      <c r="A4">
        <v>2008</v>
      </c>
      <c r="D4" s="7">
        <v>1956</v>
      </c>
    </row>
    <row r="5" spans="1:5" x14ac:dyDescent="0.3">
      <c r="D5" s="7"/>
    </row>
    <row r="6" spans="1:5" x14ac:dyDescent="0.3">
      <c r="D6" s="6"/>
    </row>
    <row r="7" spans="1:5" x14ac:dyDescent="0.3">
      <c r="D7" s="6"/>
    </row>
    <row r="10" spans="1:5" x14ac:dyDescent="0.3">
      <c r="D10" s="7"/>
    </row>
    <row r="11" spans="1:5" x14ac:dyDescent="0.3">
      <c r="D11" s="7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51A78-419F-4F2A-8146-3EC20E731B6C}">
  <dimension ref="A1:D8"/>
  <sheetViews>
    <sheetView workbookViewId="0">
      <selection activeCell="H13" sqref="H13"/>
    </sheetView>
  </sheetViews>
  <sheetFormatPr defaultRowHeight="14.4" x14ac:dyDescent="0.3"/>
  <cols>
    <col min="2" max="2" width="16.21875" style="2" bestFit="1" customWidth="1"/>
    <col min="4" max="4" width="11" bestFit="1" customWidth="1"/>
  </cols>
  <sheetData>
    <row r="1" spans="1:4" x14ac:dyDescent="0.3">
      <c r="A1" t="s">
        <v>0</v>
      </c>
      <c r="B1" t="s">
        <v>1</v>
      </c>
      <c r="C1" t="s">
        <v>2</v>
      </c>
    </row>
    <row r="2" spans="1:4" x14ac:dyDescent="0.3">
      <c r="A2">
        <v>2021</v>
      </c>
      <c r="B2" s="2">
        <v>63349370.030000001</v>
      </c>
      <c r="C2" s="3">
        <v>0.32540000000000002</v>
      </c>
      <c r="D2">
        <f>190774396.81*C2</f>
        <v>62077988.721974008</v>
      </c>
    </row>
    <row r="3" spans="1:4" x14ac:dyDescent="0.3">
      <c r="A3">
        <v>2022</v>
      </c>
      <c r="B3" s="2">
        <v>115130546.89</v>
      </c>
      <c r="C3" s="3">
        <v>0.2545</v>
      </c>
      <c r="D3">
        <f>469434184.33*C3</f>
        <v>119470999.911985</v>
      </c>
    </row>
    <row r="4" spans="1:4" x14ac:dyDescent="0.3">
      <c r="A4">
        <v>2023</v>
      </c>
      <c r="B4" s="2">
        <v>106973803.02489299</v>
      </c>
      <c r="C4" s="3">
        <v>0.28589999999999999</v>
      </c>
      <c r="D4">
        <f>374165103.27*C4</f>
        <v>106973803.02489299</v>
      </c>
    </row>
    <row r="5" spans="1:4" x14ac:dyDescent="0.3">
      <c r="A5">
        <v>2024</v>
      </c>
      <c r="C5" s="3">
        <v>0.31259999999999999</v>
      </c>
    </row>
    <row r="6" spans="1:4" x14ac:dyDescent="0.3">
      <c r="C6" s="3"/>
    </row>
    <row r="7" spans="1:4" x14ac:dyDescent="0.3">
      <c r="C7" s="3"/>
    </row>
    <row r="8" spans="1:4" x14ac:dyDescent="0.3">
      <c r="C8" s="3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CB1EC-0187-4A3D-A2ED-124887739486}">
  <dimension ref="A1:F7"/>
  <sheetViews>
    <sheetView workbookViewId="0">
      <selection activeCell="F2" activeCellId="1" sqref="A2:A6 F2:F6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style="2" bestFit="1" customWidth="1"/>
    <col min="4" max="4" width="8.109375" style="3" bestFit="1" customWidth="1"/>
    <col min="5" max="5" width="11.21875" bestFit="1" customWidth="1"/>
  </cols>
  <sheetData>
    <row r="1" spans="1:6" x14ac:dyDescent="0.3">
      <c r="A1" t="s">
        <v>0</v>
      </c>
      <c r="B1" t="s">
        <v>7</v>
      </c>
      <c r="C1" t="s">
        <v>8</v>
      </c>
      <c r="D1" t="s">
        <v>23</v>
      </c>
      <c r="E1" t="s">
        <v>6</v>
      </c>
      <c r="F1" t="s">
        <v>59</v>
      </c>
    </row>
    <row r="2" spans="1:6" x14ac:dyDescent="0.3">
      <c r="A2">
        <v>1997</v>
      </c>
      <c r="B2" s="2">
        <v>15366000</v>
      </c>
      <c r="C2" s="2">
        <v>118460000.52</v>
      </c>
      <c r="D2"/>
      <c r="E2">
        <v>15000</v>
      </c>
      <c r="F2" s="2">
        <f>C2/1280614</f>
        <v>92.502503111788556</v>
      </c>
    </row>
    <row r="3" spans="1:6" x14ac:dyDescent="0.3">
      <c r="A3">
        <v>1998</v>
      </c>
      <c r="B3" s="2">
        <v>22000000</v>
      </c>
      <c r="C3" s="2">
        <v>165987577.80000001</v>
      </c>
      <c r="D3" s="3">
        <v>0.54</v>
      </c>
      <c r="E3">
        <v>25000</v>
      </c>
      <c r="F3" s="2">
        <f t="shared" ref="F3:F6" si="0">C3/1280614</f>
        <v>129.61562016345286</v>
      </c>
    </row>
    <row r="4" spans="1:6" x14ac:dyDescent="0.3">
      <c r="A4">
        <v>1999</v>
      </c>
      <c r="B4" s="2">
        <v>15597483</v>
      </c>
      <c r="C4" s="2">
        <v>99309208.579999998</v>
      </c>
      <c r="E4">
        <v>50000</v>
      </c>
      <c r="F4" s="2">
        <f t="shared" si="0"/>
        <v>77.548120339149818</v>
      </c>
    </row>
    <row r="5" spans="1:6" x14ac:dyDescent="0.3">
      <c r="A5">
        <v>2000</v>
      </c>
      <c r="B5" s="2">
        <v>16773376</v>
      </c>
      <c r="C5" s="2">
        <v>96006694.75</v>
      </c>
      <c r="D5" s="3">
        <v>1</v>
      </c>
      <c r="E5">
        <v>150000</v>
      </c>
      <c r="F5" s="2">
        <f t="shared" si="0"/>
        <v>74.969268452476697</v>
      </c>
    </row>
    <row r="6" spans="1:6" x14ac:dyDescent="0.3">
      <c r="A6">
        <v>2002</v>
      </c>
      <c r="B6" s="2">
        <v>9449032</v>
      </c>
      <c r="C6" s="2">
        <v>43312093.399999999</v>
      </c>
      <c r="F6" s="2">
        <f t="shared" si="0"/>
        <v>33.821349290262326</v>
      </c>
    </row>
    <row r="7" spans="1:6" x14ac:dyDescent="0.3">
      <c r="C7" s="2">
        <f>AVERAGE(C2:C6)</f>
        <v>104615115.00999999</v>
      </c>
      <c r="D7" s="3">
        <f>AVERAGE(D3,D5)</f>
        <v>0.77</v>
      </c>
      <c r="E7">
        <f>AVERAGE(E2:E5)</f>
        <v>60000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48090-545C-407B-BAFD-317543818464}">
  <dimension ref="A1:D22"/>
  <sheetViews>
    <sheetView workbookViewId="0">
      <selection activeCell="C21" sqref="C21"/>
    </sheetView>
  </sheetViews>
  <sheetFormatPr defaultRowHeight="14.4" x14ac:dyDescent="0.3"/>
  <cols>
    <col min="2" max="2" width="13.77734375" bestFit="1" customWidth="1"/>
    <col min="3" max="3" width="18.33203125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2</v>
      </c>
    </row>
    <row r="2" spans="1:4" x14ac:dyDescent="0.3">
      <c r="A2">
        <v>1998</v>
      </c>
      <c r="B2" s="4">
        <v>8000000</v>
      </c>
      <c r="C2" s="2">
        <v>61673825.600000001</v>
      </c>
    </row>
    <row r="3" spans="1:4" x14ac:dyDescent="0.3">
      <c r="A3">
        <v>1999</v>
      </c>
      <c r="B3" s="4">
        <v>10000000</v>
      </c>
      <c r="C3" s="2">
        <v>75448899</v>
      </c>
    </row>
    <row r="4" spans="1:4" x14ac:dyDescent="0.3">
      <c r="A4">
        <v>2000</v>
      </c>
      <c r="B4" s="4">
        <v>10000000</v>
      </c>
      <c r="C4" s="2">
        <v>63670022</v>
      </c>
    </row>
    <row r="5" spans="1:4" x14ac:dyDescent="0.3">
      <c r="A5">
        <v>2001</v>
      </c>
      <c r="B5" s="4">
        <v>10000000</v>
      </c>
      <c r="C5" s="2">
        <v>57237550</v>
      </c>
    </row>
    <row r="6" spans="1:4" x14ac:dyDescent="0.3">
      <c r="A6">
        <v>2002</v>
      </c>
      <c r="B6" s="4">
        <v>6000000</v>
      </c>
      <c r="C6" s="2">
        <v>30985103.399999999</v>
      </c>
    </row>
    <row r="7" spans="1:4" x14ac:dyDescent="0.3">
      <c r="A7">
        <v>2003</v>
      </c>
      <c r="B7" s="4">
        <v>6000000</v>
      </c>
      <c r="C7" s="2">
        <v>25597602</v>
      </c>
    </row>
    <row r="8" spans="1:4" x14ac:dyDescent="0.3">
      <c r="A8">
        <v>2004</v>
      </c>
      <c r="B8" s="4">
        <v>6000000</v>
      </c>
      <c r="C8" s="2">
        <v>22835681.399999999</v>
      </c>
    </row>
    <row r="9" spans="1:4" x14ac:dyDescent="0.3">
      <c r="A9">
        <v>2005</v>
      </c>
      <c r="B9" s="4">
        <v>6000000</v>
      </c>
      <c r="C9" s="2">
        <v>20338606.199999999</v>
      </c>
    </row>
    <row r="10" spans="1:4" x14ac:dyDescent="0.3">
      <c r="A10">
        <v>2007</v>
      </c>
      <c r="B10" s="4">
        <v>10000000</v>
      </c>
      <c r="C10" s="2">
        <v>32122562</v>
      </c>
    </row>
    <row r="11" spans="1:4" x14ac:dyDescent="0.3">
      <c r="A11">
        <v>2008</v>
      </c>
      <c r="B11" s="4">
        <v>10000000</v>
      </c>
      <c r="C11" s="2">
        <v>30239864</v>
      </c>
    </row>
    <row r="12" spans="1:4" x14ac:dyDescent="0.3">
      <c r="A12">
        <v>2009</v>
      </c>
      <c r="B12" s="4">
        <v>15000000</v>
      </c>
      <c r="C12" s="2">
        <v>41197479</v>
      </c>
    </row>
    <row r="13" spans="1:4" x14ac:dyDescent="0.3">
      <c r="A13">
        <v>2011</v>
      </c>
      <c r="B13" s="4">
        <v>15000000</v>
      </c>
      <c r="C13" s="2">
        <v>37359862.5</v>
      </c>
    </row>
    <row r="14" spans="1:4" x14ac:dyDescent="0.3">
      <c r="A14">
        <v>2012</v>
      </c>
      <c r="B14" s="4">
        <v>16000000</v>
      </c>
      <c r="C14" s="2">
        <v>37613108.799999997</v>
      </c>
    </row>
    <row r="15" spans="1:4" x14ac:dyDescent="0.3">
      <c r="A15">
        <v>2013</v>
      </c>
      <c r="B15" s="4">
        <v>17500000</v>
      </c>
      <c r="C15" s="2">
        <v>38461601.5</v>
      </c>
    </row>
    <row r="16" spans="1:4" x14ac:dyDescent="0.3">
      <c r="A16">
        <v>2014</v>
      </c>
      <c r="B16" s="4">
        <v>20000000</v>
      </c>
      <c r="C16" s="2">
        <v>41625696</v>
      </c>
    </row>
    <row r="17" spans="1:3" x14ac:dyDescent="0.3">
      <c r="A17">
        <v>2015</v>
      </c>
      <c r="B17" s="4">
        <v>21000000</v>
      </c>
      <c r="C17" s="2">
        <v>42162733.200000003</v>
      </c>
    </row>
    <row r="18" spans="1:3" x14ac:dyDescent="0.3">
      <c r="A18">
        <v>2016</v>
      </c>
      <c r="B18" s="4">
        <v>21000000</v>
      </c>
      <c r="C18" s="2">
        <v>38092238.100000001</v>
      </c>
    </row>
    <row r="19" spans="1:3" x14ac:dyDescent="0.3">
      <c r="A19">
        <v>2023</v>
      </c>
      <c r="B19" s="4">
        <v>35000000</v>
      </c>
      <c r="C19" s="2">
        <v>35000000</v>
      </c>
    </row>
    <row r="20" spans="1:3" x14ac:dyDescent="0.3">
      <c r="B20" s="4"/>
      <c r="C20" s="2">
        <f>AVERAGE(C2:C19)</f>
        <v>40647913.038888894</v>
      </c>
    </row>
    <row r="21" spans="1:3" x14ac:dyDescent="0.3">
      <c r="B21" s="4"/>
      <c r="C21" s="2"/>
    </row>
    <row r="22" spans="1:3" x14ac:dyDescent="0.3">
      <c r="B22" s="4"/>
      <c r="C22" s="2"/>
    </row>
  </sheetData>
  <pageMargins left="0.511811024" right="0.511811024" top="0.78740157499999996" bottom="0.78740157499999996" header="0.31496062000000002" footer="0.3149606200000000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181B9-72DF-4372-B50B-47B58F7B1319}">
  <dimension ref="A1:D22"/>
  <sheetViews>
    <sheetView workbookViewId="0">
      <selection activeCell="F19" sqref="F19"/>
    </sheetView>
  </sheetViews>
  <sheetFormatPr defaultRowHeight="14.4" x14ac:dyDescent="0.3"/>
  <cols>
    <col min="2" max="2" width="13.77734375" bestFit="1" customWidth="1"/>
    <col min="3" max="3" width="18.33203125" bestFit="1" customWidth="1"/>
  </cols>
  <sheetData>
    <row r="1" spans="1:4" x14ac:dyDescent="0.3">
      <c r="A1" t="s">
        <v>0</v>
      </c>
      <c r="B1" t="s">
        <v>7</v>
      </c>
      <c r="C1" t="s">
        <v>8</v>
      </c>
      <c r="D1" t="s">
        <v>2</v>
      </c>
    </row>
    <row r="2" spans="1:4" x14ac:dyDescent="0.3">
      <c r="A2">
        <v>2011</v>
      </c>
      <c r="B2" s="4">
        <v>2000000</v>
      </c>
      <c r="C2" s="2">
        <v>4701638.5999999996</v>
      </c>
      <c r="D2">
        <v>5.15</v>
      </c>
    </row>
    <row r="3" spans="1:4" x14ac:dyDescent="0.3">
      <c r="A3">
        <v>2012</v>
      </c>
      <c r="B3" s="4">
        <v>2522000</v>
      </c>
      <c r="C3" s="2">
        <v>5542866.2300000004</v>
      </c>
      <c r="D3">
        <v>4.13</v>
      </c>
    </row>
    <row r="4" spans="1:4" x14ac:dyDescent="0.3">
      <c r="A4">
        <v>2013</v>
      </c>
      <c r="B4" s="4">
        <v>3195250</v>
      </c>
      <c r="C4" s="2">
        <v>6650225.2599999998</v>
      </c>
      <c r="D4">
        <v>6.74</v>
      </c>
    </row>
    <row r="5" spans="1:4" x14ac:dyDescent="0.3">
      <c r="A5">
        <v>2014</v>
      </c>
      <c r="B5" s="4">
        <v>4189723.05</v>
      </c>
      <c r="C5" s="2">
        <v>8411913.0999999996</v>
      </c>
      <c r="D5">
        <v>6.64</v>
      </c>
    </row>
    <row r="6" spans="1:4" x14ac:dyDescent="0.3">
      <c r="A6">
        <v>2015</v>
      </c>
      <c r="B6" s="4">
        <v>4500000</v>
      </c>
      <c r="C6" s="2">
        <v>8162622.4500000002</v>
      </c>
      <c r="D6">
        <v>6.89</v>
      </c>
    </row>
    <row r="7" spans="1:4" x14ac:dyDescent="0.3">
      <c r="A7">
        <v>2016</v>
      </c>
      <c r="B7" s="4">
        <v>4820000</v>
      </c>
      <c r="C7" s="2">
        <v>8162186.0700000003</v>
      </c>
      <c r="D7">
        <v>7.4</v>
      </c>
    </row>
    <row r="8" spans="1:4" x14ac:dyDescent="0.3">
      <c r="B8" s="4"/>
      <c r="C8" s="2"/>
    </row>
    <row r="9" spans="1:4" x14ac:dyDescent="0.3">
      <c r="B9" s="4"/>
      <c r="C9" s="2"/>
    </row>
    <row r="10" spans="1:4" x14ac:dyDescent="0.3">
      <c r="B10" s="4"/>
      <c r="C10" s="2"/>
    </row>
    <row r="11" spans="1:4" x14ac:dyDescent="0.3">
      <c r="B11" s="4"/>
      <c r="C11" s="2"/>
    </row>
    <row r="12" spans="1:4" x14ac:dyDescent="0.3">
      <c r="B12" s="4"/>
      <c r="C12" s="2"/>
    </row>
    <row r="13" spans="1:4" x14ac:dyDescent="0.3">
      <c r="B13" s="4"/>
      <c r="C13" s="2"/>
    </row>
    <row r="14" spans="1:4" x14ac:dyDescent="0.3">
      <c r="B14" s="4"/>
      <c r="C14" s="2"/>
    </row>
    <row r="15" spans="1:4" x14ac:dyDescent="0.3">
      <c r="B15" s="4"/>
      <c r="C15" s="2"/>
    </row>
    <row r="16" spans="1:4" x14ac:dyDescent="0.3">
      <c r="B16" s="4"/>
      <c r="C16" s="2"/>
    </row>
    <row r="17" spans="2:3" x14ac:dyDescent="0.3">
      <c r="B17" s="4"/>
      <c r="C17" s="2"/>
    </row>
    <row r="18" spans="2:3" x14ac:dyDescent="0.3">
      <c r="B18" s="4"/>
      <c r="C18" s="2"/>
    </row>
    <row r="19" spans="2:3" x14ac:dyDescent="0.3">
      <c r="B19" s="4"/>
      <c r="C19" s="2"/>
    </row>
    <row r="20" spans="2:3" x14ac:dyDescent="0.3">
      <c r="B20" s="4"/>
      <c r="C20" s="2"/>
    </row>
    <row r="21" spans="2:3" x14ac:dyDescent="0.3">
      <c r="B21" s="4"/>
      <c r="C21" s="2"/>
    </row>
    <row r="22" spans="2:3" x14ac:dyDescent="0.3">
      <c r="B22" s="4"/>
      <c r="C22" s="2"/>
    </row>
  </sheetData>
  <pageMargins left="0.511811024" right="0.511811024" top="0.78740157499999996" bottom="0.78740157499999996" header="0.31496062000000002" footer="0.3149606200000000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EC290-1F01-42A2-96E2-7EDD00492A2E}">
  <dimension ref="A1:E16"/>
  <sheetViews>
    <sheetView workbookViewId="0">
      <selection activeCell="D21" sqref="D21"/>
    </sheetView>
  </sheetViews>
  <sheetFormatPr defaultRowHeight="14.4" x14ac:dyDescent="0.3"/>
  <cols>
    <col min="1" max="1" width="9.6640625" bestFit="1" customWidth="1"/>
    <col min="2" max="2" width="11.21875" bestFit="1" customWidth="1"/>
    <col min="3" max="3" width="14.21875" style="2" bestFit="1" customWidth="1"/>
    <col min="4" max="4" width="18.33203125" style="2" bestFit="1" customWidth="1"/>
  </cols>
  <sheetData>
    <row r="1" spans="1:5" x14ac:dyDescent="0.3">
      <c r="A1" t="s">
        <v>0</v>
      </c>
      <c r="B1" t="s">
        <v>6</v>
      </c>
      <c r="C1" t="s">
        <v>7</v>
      </c>
      <c r="D1" t="s">
        <v>8</v>
      </c>
      <c r="E1" t="s">
        <v>2</v>
      </c>
    </row>
    <row r="2" spans="1:5" x14ac:dyDescent="0.3">
      <c r="A2">
        <v>1983</v>
      </c>
      <c r="E2">
        <v>10</v>
      </c>
    </row>
    <row r="3" spans="1:5" x14ac:dyDescent="0.3">
      <c r="A3">
        <v>1984</v>
      </c>
      <c r="B3">
        <v>5000</v>
      </c>
      <c r="E3">
        <v>12</v>
      </c>
    </row>
    <row r="4" spans="1:5" x14ac:dyDescent="0.3">
      <c r="A4">
        <v>1985</v>
      </c>
      <c r="B4">
        <v>10000</v>
      </c>
      <c r="E4">
        <v>15</v>
      </c>
    </row>
    <row r="5" spans="1:5" x14ac:dyDescent="0.3">
      <c r="A5">
        <v>1988</v>
      </c>
      <c r="E5">
        <v>100</v>
      </c>
    </row>
    <row r="6" spans="1:5" x14ac:dyDescent="0.3">
      <c r="A6">
        <v>1990</v>
      </c>
      <c r="B6">
        <v>2500</v>
      </c>
    </row>
    <row r="7" spans="1:5" x14ac:dyDescent="0.3">
      <c r="A7" t="s">
        <v>28</v>
      </c>
      <c r="E7">
        <v>5</v>
      </c>
    </row>
    <row r="8" spans="1:5" x14ac:dyDescent="0.3">
      <c r="A8">
        <v>2008</v>
      </c>
      <c r="B8">
        <v>467</v>
      </c>
      <c r="C8" s="2">
        <v>5240092.5</v>
      </c>
      <c r="D8" s="2">
        <v>15845968.449999999</v>
      </c>
      <c r="E8">
        <v>2.41</v>
      </c>
    </row>
    <row r="11" spans="1:5" x14ac:dyDescent="0.3">
      <c r="A11" t="s">
        <v>16</v>
      </c>
      <c r="B11">
        <v>1000</v>
      </c>
    </row>
    <row r="12" spans="1:5" x14ac:dyDescent="0.3">
      <c r="A12" t="s">
        <v>17</v>
      </c>
      <c r="B12">
        <v>1572</v>
      </c>
    </row>
    <row r="13" spans="1:5" x14ac:dyDescent="0.3">
      <c r="A13" t="s">
        <v>24</v>
      </c>
      <c r="B13">
        <v>2474</v>
      </c>
      <c r="C13" s="2">
        <v>7870250</v>
      </c>
      <c r="D13" s="2">
        <v>13443549.439999999</v>
      </c>
      <c r="E13">
        <v>6.65</v>
      </c>
    </row>
    <row r="14" spans="1:5" x14ac:dyDescent="0.3">
      <c r="A14" t="s">
        <v>25</v>
      </c>
      <c r="B14">
        <v>1900</v>
      </c>
    </row>
    <row r="15" spans="1:5" x14ac:dyDescent="0.3">
      <c r="A15" t="s">
        <v>26</v>
      </c>
      <c r="B15">
        <v>841</v>
      </c>
    </row>
    <row r="16" spans="1:5" x14ac:dyDescent="0.3">
      <c r="A16" t="s">
        <v>27</v>
      </c>
      <c r="B16">
        <v>3612</v>
      </c>
    </row>
  </sheetData>
  <pageMargins left="0.511811024" right="0.511811024" top="0.78740157499999996" bottom="0.78740157499999996" header="0.31496062000000002" footer="0.3149606200000000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A3A01-67A8-47BE-B556-59A7724575FF}">
  <dimension ref="A1:E21"/>
  <sheetViews>
    <sheetView workbookViewId="0">
      <selection activeCell="H15" sqref="H15"/>
    </sheetView>
  </sheetViews>
  <sheetFormatPr defaultRowHeight="14.4" x14ac:dyDescent="0.3"/>
  <cols>
    <col min="1" max="1" width="9.6640625" bestFit="1" customWidth="1"/>
    <col min="2" max="2" width="11.21875" style="6" bestFit="1" customWidth="1"/>
    <col min="3" max="3" width="16.21875" style="2" bestFit="1" customWidth="1"/>
    <col min="4" max="4" width="18.33203125" style="2" bestFit="1" customWidth="1"/>
    <col min="5" max="5" width="8.88671875" style="3"/>
  </cols>
  <sheetData>
    <row r="1" spans="1:5" x14ac:dyDescent="0.3">
      <c r="A1" t="s">
        <v>0</v>
      </c>
      <c r="B1" t="s">
        <v>6</v>
      </c>
      <c r="C1" t="s">
        <v>7</v>
      </c>
      <c r="D1" t="s">
        <v>8</v>
      </c>
      <c r="E1" t="s">
        <v>2</v>
      </c>
    </row>
    <row r="2" spans="1:5" x14ac:dyDescent="0.3">
      <c r="A2">
        <v>1990</v>
      </c>
      <c r="B2" s="6">
        <v>2333</v>
      </c>
      <c r="D2" s="2">
        <v>5226831.9066666672</v>
      </c>
    </row>
    <row r="3" spans="1:5" x14ac:dyDescent="0.3">
      <c r="A3">
        <v>1991</v>
      </c>
      <c r="B3" s="6">
        <v>3175</v>
      </c>
      <c r="D3" s="2">
        <v>5226831.9066666672</v>
      </c>
    </row>
    <row r="4" spans="1:5" x14ac:dyDescent="0.3">
      <c r="A4">
        <v>1992</v>
      </c>
      <c r="B4" s="6">
        <v>3966</v>
      </c>
      <c r="D4" s="2">
        <v>5226831.9066666672</v>
      </c>
    </row>
    <row r="5" spans="1:5" x14ac:dyDescent="0.3">
      <c r="A5">
        <v>1993</v>
      </c>
      <c r="B5" s="6">
        <v>3430</v>
      </c>
    </row>
    <row r="6" spans="1:5" x14ac:dyDescent="0.3">
      <c r="A6">
        <v>1994</v>
      </c>
      <c r="B6" s="6">
        <v>3610</v>
      </c>
    </row>
    <row r="7" spans="1:5" x14ac:dyDescent="0.3">
      <c r="A7">
        <v>1995</v>
      </c>
      <c r="B7" s="6">
        <v>3689</v>
      </c>
      <c r="E7" s="3">
        <v>0.29170000000000001</v>
      </c>
    </row>
    <row r="8" spans="1:5" x14ac:dyDescent="0.3">
      <c r="A8">
        <v>1997</v>
      </c>
      <c r="B8" s="6">
        <v>2715</v>
      </c>
      <c r="E8" s="3">
        <v>0.47539999999999999</v>
      </c>
    </row>
    <row r="9" spans="1:5" x14ac:dyDescent="0.3">
      <c r="A9">
        <v>1998</v>
      </c>
      <c r="B9" s="6">
        <v>2845</v>
      </c>
      <c r="E9" s="3">
        <v>0.73909999999999998</v>
      </c>
    </row>
    <row r="10" spans="1:5" x14ac:dyDescent="0.3">
      <c r="A10">
        <v>1999</v>
      </c>
      <c r="B10" s="6">
        <v>3057</v>
      </c>
      <c r="E10" s="3">
        <v>0.61339999999999995</v>
      </c>
    </row>
    <row r="11" spans="1:5" x14ac:dyDescent="0.3">
      <c r="A11">
        <v>2000</v>
      </c>
      <c r="B11" s="6">
        <v>575</v>
      </c>
      <c r="E11" s="3">
        <v>0.43440000000000001</v>
      </c>
    </row>
    <row r="12" spans="1:5" x14ac:dyDescent="0.3">
      <c r="A12">
        <v>2001</v>
      </c>
      <c r="B12" s="6">
        <v>4248</v>
      </c>
      <c r="C12" s="2">
        <v>35090532.32</v>
      </c>
      <c r="D12" s="2">
        <v>200849609.81999999</v>
      </c>
      <c r="E12" s="3">
        <v>0.38469999999999999</v>
      </c>
    </row>
    <row r="13" spans="1:5" x14ac:dyDescent="0.3">
      <c r="A13">
        <v>2002</v>
      </c>
      <c r="B13" s="6">
        <v>4089</v>
      </c>
      <c r="C13" s="2">
        <v>15411466.630000001</v>
      </c>
      <c r="D13" s="2">
        <v>79857647.849999994</v>
      </c>
      <c r="E13" s="3">
        <v>0.64749999999999996</v>
      </c>
    </row>
    <row r="14" spans="1:5" x14ac:dyDescent="0.3">
      <c r="A14">
        <v>2006</v>
      </c>
      <c r="C14" s="2">
        <v>75000000</v>
      </c>
      <c r="D14" s="2">
        <v>249341932.5</v>
      </c>
    </row>
    <row r="15" spans="1:5" x14ac:dyDescent="0.3">
      <c r="A15">
        <v>2007</v>
      </c>
      <c r="C15" s="2">
        <v>75000000</v>
      </c>
      <c r="D15" s="2">
        <v>249341932.5</v>
      </c>
    </row>
    <row r="16" spans="1:5" x14ac:dyDescent="0.3">
      <c r="A16">
        <v>2008</v>
      </c>
      <c r="C16" s="2">
        <v>40000000</v>
      </c>
      <c r="D16" s="2">
        <v>120959456</v>
      </c>
    </row>
    <row r="17" spans="1:5" x14ac:dyDescent="0.3">
      <c r="A17">
        <v>2009</v>
      </c>
      <c r="C17" s="2">
        <v>40000000</v>
      </c>
      <c r="D17" s="2">
        <v>120959456</v>
      </c>
    </row>
    <row r="18" spans="1:5" x14ac:dyDescent="0.3">
      <c r="A18">
        <v>2020</v>
      </c>
      <c r="B18" s="6">
        <v>107</v>
      </c>
    </row>
    <row r="19" spans="1:5" x14ac:dyDescent="0.3">
      <c r="A19">
        <v>2021</v>
      </c>
      <c r="B19" s="6">
        <v>60</v>
      </c>
    </row>
    <row r="20" spans="1:5" x14ac:dyDescent="0.3">
      <c r="A20">
        <v>2022</v>
      </c>
      <c r="B20" s="6">
        <v>34</v>
      </c>
    </row>
    <row r="21" spans="1:5" x14ac:dyDescent="0.3">
      <c r="A21" t="s">
        <v>32</v>
      </c>
      <c r="B21" s="6">
        <f>AVERAGE(B2:B13,B18:B20)</f>
        <v>2528.8666666666668</v>
      </c>
      <c r="D21" s="2">
        <f>AVERAGE(D2:D4,D12:D17)</f>
        <v>115221170.04333334</v>
      </c>
      <c r="E21" s="3">
        <f>AVERAGE(E7:E13)</f>
        <v>0.51231428571428572</v>
      </c>
    </row>
  </sheetData>
  <pageMargins left="0.511811024" right="0.511811024" top="0.78740157499999996" bottom="0.78740157499999996" header="0.31496062000000002" footer="0.3149606200000000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FFD39-14B9-4B8C-B29B-B06287A32CEE}">
  <dimension ref="A1:E13"/>
  <sheetViews>
    <sheetView workbookViewId="0">
      <selection activeCell="D7" sqref="D7"/>
    </sheetView>
  </sheetViews>
  <sheetFormatPr defaultRowHeight="14.4" x14ac:dyDescent="0.3"/>
  <cols>
    <col min="1" max="1" width="9.6640625" bestFit="1" customWidth="1"/>
    <col min="2" max="2" width="11.21875" bestFit="1" customWidth="1"/>
    <col min="3" max="3" width="15.21875" style="2" bestFit="1" customWidth="1"/>
    <col min="4" max="4" width="18.33203125" style="2" bestFit="1" customWidth="1"/>
  </cols>
  <sheetData>
    <row r="1" spans="1:5" x14ac:dyDescent="0.3">
      <c r="A1" t="s">
        <v>0</v>
      </c>
      <c r="B1" t="s">
        <v>6</v>
      </c>
      <c r="C1" t="s">
        <v>7</v>
      </c>
      <c r="D1" t="s">
        <v>8</v>
      </c>
      <c r="E1" t="s">
        <v>2</v>
      </c>
    </row>
    <row r="2" spans="1:5" x14ac:dyDescent="0.3">
      <c r="A2">
        <v>1997</v>
      </c>
      <c r="B2">
        <v>1345</v>
      </c>
    </row>
    <row r="3" spans="1:5" x14ac:dyDescent="0.3">
      <c r="A3">
        <v>1999</v>
      </c>
      <c r="B3">
        <v>2883</v>
      </c>
      <c r="C3" s="2">
        <v>1000000</v>
      </c>
      <c r="D3" s="2">
        <v>6367002.2000000002</v>
      </c>
    </row>
    <row r="4" spans="1:5" x14ac:dyDescent="0.3">
      <c r="A4">
        <v>2000</v>
      </c>
      <c r="B4">
        <v>3283</v>
      </c>
      <c r="C4" s="2">
        <v>1862342</v>
      </c>
      <c r="D4" s="2">
        <v>10659589.33</v>
      </c>
    </row>
    <row r="5" spans="1:5" x14ac:dyDescent="0.3">
      <c r="A5">
        <v>2002</v>
      </c>
      <c r="B5">
        <v>4768</v>
      </c>
      <c r="C5" s="2">
        <v>1600000</v>
      </c>
      <c r="D5" s="2">
        <v>6826027.2000000002</v>
      </c>
    </row>
    <row r="6" spans="1:5" x14ac:dyDescent="0.3">
      <c r="A6">
        <v>2003</v>
      </c>
      <c r="B6">
        <v>2397</v>
      </c>
      <c r="C6" s="2" t="s">
        <v>30</v>
      </c>
      <c r="D6" s="2">
        <f>AVERAGE(D3:D5)</f>
        <v>7950872.9100000001</v>
      </c>
    </row>
    <row r="7" spans="1:5" x14ac:dyDescent="0.3">
      <c r="A7">
        <v>2004</v>
      </c>
      <c r="B7">
        <v>3195</v>
      </c>
    </row>
    <row r="8" spans="1:5" x14ac:dyDescent="0.3">
      <c r="A8">
        <v>2006</v>
      </c>
      <c r="B8">
        <v>2652</v>
      </c>
    </row>
    <row r="9" spans="1:5" x14ac:dyDescent="0.3">
      <c r="A9">
        <v>2008</v>
      </c>
      <c r="B9">
        <v>3529</v>
      </c>
    </row>
    <row r="10" spans="1:5" x14ac:dyDescent="0.3">
      <c r="A10">
        <v>2011</v>
      </c>
      <c r="B10">
        <v>3753</v>
      </c>
    </row>
    <row r="11" spans="1:5" x14ac:dyDescent="0.3">
      <c r="A11">
        <v>2013</v>
      </c>
      <c r="B11">
        <v>3720</v>
      </c>
    </row>
    <row r="12" spans="1:5" x14ac:dyDescent="0.3">
      <c r="A12">
        <v>2015</v>
      </c>
      <c r="B12">
        <v>3780</v>
      </c>
    </row>
    <row r="13" spans="1:5" x14ac:dyDescent="0.3">
      <c r="A13" t="s">
        <v>29</v>
      </c>
      <c r="B13">
        <f>AVERAGE(B2:B12)</f>
        <v>3209.5454545454545</v>
      </c>
    </row>
  </sheetData>
  <pageMargins left="0.511811024" right="0.511811024" top="0.78740157499999996" bottom="0.78740157499999996" header="0.31496062000000002" footer="0.3149606200000000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39690-7CEE-41A1-9666-64C795AA559A}">
  <dimension ref="A1"/>
  <sheetViews>
    <sheetView workbookViewId="0"/>
  </sheetViews>
  <sheetFormatPr defaultRowHeight="14.4" x14ac:dyDescent="0.3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91EEE-88AA-4664-9CEF-78177A879EBC}">
  <dimension ref="A1:X26"/>
  <sheetViews>
    <sheetView topLeftCell="H1" zoomScale="80" zoomScaleNormal="80" workbookViewId="0">
      <selection activeCell="V25" sqref="V25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bestFit="1" customWidth="1"/>
    <col min="6" max="6" width="20.88671875" bestFit="1" customWidth="1"/>
  </cols>
  <sheetData>
    <row r="1" spans="1:24" x14ac:dyDescent="0.3">
      <c r="A1" t="s">
        <v>0</v>
      </c>
      <c r="B1" t="s">
        <v>7</v>
      </c>
      <c r="C1" t="s">
        <v>8</v>
      </c>
      <c r="D1" t="s">
        <v>39</v>
      </c>
      <c r="E1" t="s">
        <v>2</v>
      </c>
      <c r="H1">
        <v>1994</v>
      </c>
      <c r="I1">
        <v>1995</v>
      </c>
      <c r="J1">
        <v>1996</v>
      </c>
      <c r="K1">
        <v>1997</v>
      </c>
      <c r="L1">
        <v>1998</v>
      </c>
      <c r="M1">
        <v>2000</v>
      </c>
      <c r="N1">
        <v>2002</v>
      </c>
      <c r="O1">
        <v>2004</v>
      </c>
      <c r="P1">
        <v>2006</v>
      </c>
      <c r="Q1">
        <v>2008</v>
      </c>
      <c r="R1">
        <v>2010</v>
      </c>
      <c r="S1">
        <v>2011</v>
      </c>
      <c r="T1">
        <v>2012</v>
      </c>
      <c r="U1">
        <v>2013</v>
      </c>
      <c r="V1">
        <v>2014</v>
      </c>
      <c r="W1">
        <v>2016</v>
      </c>
      <c r="X1">
        <v>2024</v>
      </c>
    </row>
    <row r="2" spans="1:24" x14ac:dyDescent="0.3">
      <c r="A2">
        <v>1994</v>
      </c>
      <c r="B2" s="2">
        <v>15000000</v>
      </c>
      <c r="C2" s="2">
        <v>156800418</v>
      </c>
      <c r="D2">
        <v>15216</v>
      </c>
      <c r="E2" s="3"/>
      <c r="H2" s="2">
        <f>156800418/2129344</f>
        <v>73.637898808271473</v>
      </c>
      <c r="I2" s="2">
        <f>163060192.8/2129344</f>
        <v>76.577665609690129</v>
      </c>
      <c r="J2" s="2">
        <f>224025261.3/2129344</f>
        <v>105.20858128137117</v>
      </c>
      <c r="K2" s="2">
        <f>208149161.4/2129344</f>
        <v>97.752716987015717</v>
      </c>
      <c r="L2" s="2">
        <f>120523474.61/2129344</f>
        <v>56.601223010467073</v>
      </c>
      <c r="M2" s="2">
        <f>383348288.67/2238526</f>
        <v>171.25031769566223</v>
      </c>
      <c r="N2" s="2">
        <f>369239148.85/2238526</f>
        <v>164.94744704774482</v>
      </c>
      <c r="O2" s="2">
        <f>284113936.08/2238526</f>
        <v>126.92009656354226</v>
      </c>
      <c r="P2" s="2">
        <f>(265964728+65048188.05)/2306839</f>
        <v>143.49198884274108</v>
      </c>
      <c r="Q2" s="2">
        <f>(241918912+92571091.8)/2306839</f>
        <v>144.9992842153267</v>
      </c>
      <c r="R2" s="2">
        <f>302114846/2375151</f>
        <v>127.19816382200543</v>
      </c>
      <c r="S2" s="2">
        <f>116365555.35/2375151</f>
        <v>48.992908387719346</v>
      </c>
      <c r="T2" s="2">
        <f>258590123/2375151</f>
        <v>108.87312975048744</v>
      </c>
      <c r="U2" s="2">
        <f>104064240/2375151</f>
        <v>43.813736474017865</v>
      </c>
      <c r="V2" s="2">
        <f>271305793.67/2375151</f>
        <v>114.22675597046252</v>
      </c>
      <c r="W2" s="2">
        <f>272087415/2375151</f>
        <v>114.55583876561953</v>
      </c>
      <c r="X2" s="2">
        <f>73000000/2392678</f>
        <v>30.50974681925441</v>
      </c>
    </row>
    <row r="3" spans="1:24" x14ac:dyDescent="0.3">
      <c r="A3">
        <v>1995</v>
      </c>
      <c r="B3" s="2">
        <v>18000000</v>
      </c>
      <c r="C3" s="2">
        <v>163060192.80000001</v>
      </c>
      <c r="D3">
        <v>26823</v>
      </c>
      <c r="E3" s="3"/>
    </row>
    <row r="4" spans="1:24" x14ac:dyDescent="0.3">
      <c r="A4">
        <v>1996</v>
      </c>
      <c r="B4" s="2">
        <v>27000000</v>
      </c>
      <c r="C4" s="2">
        <v>224025261.30000001</v>
      </c>
      <c r="D4">
        <v>38508</v>
      </c>
      <c r="E4" s="3"/>
    </row>
    <row r="5" spans="1:24" x14ac:dyDescent="0.3">
      <c r="A5">
        <v>1997</v>
      </c>
      <c r="B5" s="2">
        <v>27000000</v>
      </c>
      <c r="C5" s="2">
        <v>208149161.40000001</v>
      </c>
      <c r="D5">
        <v>33695</v>
      </c>
      <c r="E5" s="3"/>
    </row>
    <row r="6" spans="1:24" x14ac:dyDescent="0.3">
      <c r="A6">
        <v>1998</v>
      </c>
      <c r="B6" s="2">
        <v>15974186</v>
      </c>
      <c r="C6" s="2">
        <v>120523474.61</v>
      </c>
      <c r="D6">
        <v>20678</v>
      </c>
      <c r="E6" s="3"/>
    </row>
    <row r="7" spans="1:24" x14ac:dyDescent="0.3">
      <c r="A7" t="s">
        <v>9</v>
      </c>
      <c r="B7" s="2">
        <v>60208600</v>
      </c>
      <c r="C7" s="2">
        <v>383348288.667</v>
      </c>
      <c r="D7">
        <v>22238</v>
      </c>
      <c r="E7" s="3"/>
    </row>
    <row r="8" spans="1:24" x14ac:dyDescent="0.3">
      <c r="A8" t="s">
        <v>10</v>
      </c>
      <c r="B8" s="2">
        <v>71500000</v>
      </c>
      <c r="C8" s="2">
        <v>369239148.85000002</v>
      </c>
      <c r="D8">
        <v>43350</v>
      </c>
      <c r="E8" s="3"/>
    </row>
    <row r="9" spans="1:24" x14ac:dyDescent="0.3">
      <c r="A9" t="s">
        <v>11</v>
      </c>
      <c r="B9" s="2">
        <v>74650000</v>
      </c>
      <c r="C9" s="2">
        <v>284113936.07999998</v>
      </c>
      <c r="D9">
        <v>30479</v>
      </c>
      <c r="E9" s="3">
        <v>0.1794</v>
      </c>
    </row>
    <row r="10" spans="1:24" x14ac:dyDescent="0.3">
      <c r="A10" t="s">
        <v>12</v>
      </c>
      <c r="B10" s="2">
        <v>80000000</v>
      </c>
      <c r="C10" s="2">
        <v>265964728</v>
      </c>
      <c r="D10">
        <v>38302</v>
      </c>
      <c r="E10" s="3"/>
    </row>
    <row r="11" spans="1:24" x14ac:dyDescent="0.3">
      <c r="A11" t="s">
        <v>18</v>
      </c>
      <c r="B11" s="2">
        <v>20250000</v>
      </c>
      <c r="C11" s="2">
        <v>65048188.049999997</v>
      </c>
      <c r="D11">
        <v>172938</v>
      </c>
      <c r="E11" s="3">
        <v>0.12659999999999999</v>
      </c>
      <c r="F11" t="s">
        <v>58</v>
      </c>
    </row>
    <row r="12" spans="1:24" x14ac:dyDescent="0.3">
      <c r="A12" t="s">
        <v>13</v>
      </c>
      <c r="B12" s="2">
        <v>80000000</v>
      </c>
      <c r="C12" s="2">
        <v>241918912</v>
      </c>
      <c r="D12">
        <v>34693</v>
      </c>
      <c r="E12" s="3"/>
    </row>
    <row r="13" spans="1:24" x14ac:dyDescent="0.3">
      <c r="A13" t="s">
        <v>19</v>
      </c>
      <c r="B13" s="2">
        <v>34250000</v>
      </c>
      <c r="C13" s="2">
        <v>92571091.799999997</v>
      </c>
      <c r="D13">
        <v>124320</v>
      </c>
      <c r="E13" s="3">
        <v>8.8900000000000007E-2</v>
      </c>
      <c r="F13" t="s">
        <v>58</v>
      </c>
    </row>
    <row r="14" spans="1:24" x14ac:dyDescent="0.3">
      <c r="A14" t="s">
        <v>14</v>
      </c>
      <c r="B14" s="2">
        <v>110000000</v>
      </c>
      <c r="C14" s="2">
        <v>302114846</v>
      </c>
      <c r="D14">
        <v>40967</v>
      </c>
      <c r="E14" s="3">
        <v>6.6199999999999995E-2</v>
      </c>
    </row>
    <row r="15" spans="1:24" x14ac:dyDescent="0.3">
      <c r="A15" t="s">
        <v>20</v>
      </c>
      <c r="B15" s="2">
        <v>49500000</v>
      </c>
      <c r="C15" s="2">
        <v>116365555.34999999</v>
      </c>
      <c r="D15">
        <v>25378</v>
      </c>
      <c r="E15" s="3"/>
    </row>
    <row r="16" spans="1:24" x14ac:dyDescent="0.3">
      <c r="A16" t="s">
        <v>15</v>
      </c>
      <c r="B16" s="2">
        <v>110000000</v>
      </c>
      <c r="C16" s="2">
        <v>258590123</v>
      </c>
      <c r="D16">
        <v>25871</v>
      </c>
      <c r="E16" s="3">
        <v>6.6400000000000001E-2</v>
      </c>
      <c r="F16" t="s">
        <v>58</v>
      </c>
    </row>
    <row r="17" spans="1:6" x14ac:dyDescent="0.3">
      <c r="A17" t="s">
        <v>21</v>
      </c>
      <c r="B17" s="2">
        <v>50000000</v>
      </c>
      <c r="C17" s="2">
        <v>104064240</v>
      </c>
      <c r="D17">
        <v>8900</v>
      </c>
      <c r="E17" s="3"/>
    </row>
    <row r="18" spans="1:6" x14ac:dyDescent="0.3">
      <c r="A18" t="s">
        <v>16</v>
      </c>
      <c r="B18" s="2">
        <v>130354958.47</v>
      </c>
      <c r="C18" s="2">
        <v>271305793.67000002</v>
      </c>
      <c r="D18">
        <v>25880</v>
      </c>
      <c r="E18" s="3">
        <v>6.1699999999999998E-2</v>
      </c>
      <c r="F18" t="s">
        <v>58</v>
      </c>
    </row>
    <row r="19" spans="1:6" x14ac:dyDescent="0.3">
      <c r="A19" t="s">
        <v>17</v>
      </c>
      <c r="B19" s="2">
        <v>150000000</v>
      </c>
      <c r="C19" s="2">
        <v>272087415</v>
      </c>
      <c r="D19">
        <v>22946</v>
      </c>
      <c r="E19" s="3">
        <v>7.0400000000000004E-2</v>
      </c>
    </row>
    <row r="20" spans="1:6" x14ac:dyDescent="0.3">
      <c r="A20" t="s">
        <v>22</v>
      </c>
      <c r="B20" s="2">
        <v>73000000</v>
      </c>
      <c r="C20" s="2">
        <v>73000000</v>
      </c>
      <c r="E20" s="3">
        <v>4.41E-2</v>
      </c>
    </row>
    <row r="21" spans="1:6" x14ac:dyDescent="0.3">
      <c r="C21" s="2">
        <f>MEDIAN(C2:C20)</f>
        <v>224025261.30000001</v>
      </c>
      <c r="D21" s="6">
        <f>AVERAGE(D2:D19)</f>
        <v>41732.333333333336</v>
      </c>
      <c r="E21" s="3">
        <f>AVERAGE(E9,E11,E13,E14,E16,E18,E19,E20)</f>
        <v>8.7962499999999999E-2</v>
      </c>
    </row>
    <row r="22" spans="1:6" x14ac:dyDescent="0.3">
      <c r="C22" s="2"/>
    </row>
    <row r="23" spans="1:6" x14ac:dyDescent="0.3">
      <c r="C23" s="2"/>
    </row>
    <row r="24" spans="1:6" x14ac:dyDescent="0.3">
      <c r="C24" s="2"/>
    </row>
    <row r="25" spans="1:6" x14ac:dyDescent="0.3">
      <c r="C25" s="2"/>
    </row>
    <row r="26" spans="1:6" x14ac:dyDescent="0.3">
      <c r="C26" s="2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28FAB-66F4-4B2C-A6CD-A713FE4FE12C}">
  <dimension ref="A1:C26"/>
  <sheetViews>
    <sheetView workbookViewId="0">
      <selection activeCell="C5" sqref="C5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2002</v>
      </c>
      <c r="B2" s="2">
        <v>2500000</v>
      </c>
      <c r="C2" s="2">
        <v>12910459.75</v>
      </c>
    </row>
    <row r="3" spans="1:3" x14ac:dyDescent="0.3">
      <c r="A3">
        <v>2004</v>
      </c>
      <c r="B3" s="2">
        <v>2950000</v>
      </c>
      <c r="C3" s="2">
        <v>11227543.359999999</v>
      </c>
    </row>
    <row r="4" spans="1:3" x14ac:dyDescent="0.3">
      <c r="A4">
        <v>2023</v>
      </c>
      <c r="B4" s="2">
        <v>19000000</v>
      </c>
      <c r="C4" s="2">
        <v>19000000</v>
      </c>
    </row>
    <row r="5" spans="1:3" x14ac:dyDescent="0.3">
      <c r="C5" s="2"/>
    </row>
    <row r="6" spans="1:3" x14ac:dyDescent="0.3">
      <c r="C6" s="2"/>
    </row>
    <row r="7" spans="1:3" x14ac:dyDescent="0.3">
      <c r="C7" s="2"/>
    </row>
    <row r="8" spans="1:3" x14ac:dyDescent="0.3">
      <c r="C8" s="2"/>
    </row>
    <row r="9" spans="1:3" x14ac:dyDescent="0.3">
      <c r="C9" s="2"/>
    </row>
    <row r="10" spans="1:3" x14ac:dyDescent="0.3">
      <c r="C10" s="2"/>
    </row>
    <row r="11" spans="1:3" x14ac:dyDescent="0.3">
      <c r="C11" s="2"/>
    </row>
    <row r="12" spans="1:3" x14ac:dyDescent="0.3">
      <c r="C12" s="2"/>
    </row>
    <row r="13" spans="1:3" x14ac:dyDescent="0.3">
      <c r="C13" s="2"/>
    </row>
    <row r="14" spans="1:3" x14ac:dyDescent="0.3">
      <c r="C14" s="2"/>
    </row>
    <row r="15" spans="1:3" x14ac:dyDescent="0.3">
      <c r="C15" s="2"/>
    </row>
    <row r="16" spans="1:3" x14ac:dyDescent="0.3">
      <c r="C16" s="2"/>
    </row>
    <row r="17" spans="3:3" x14ac:dyDescent="0.3">
      <c r="C17" s="2"/>
    </row>
    <row r="18" spans="3:3" x14ac:dyDescent="0.3">
      <c r="C18" s="2"/>
    </row>
    <row r="19" spans="3:3" x14ac:dyDescent="0.3">
      <c r="C19" s="2"/>
    </row>
    <row r="20" spans="3:3" x14ac:dyDescent="0.3">
      <c r="C20" s="2"/>
    </row>
    <row r="21" spans="3:3" x14ac:dyDescent="0.3">
      <c r="C21" s="2"/>
    </row>
    <row r="22" spans="3:3" x14ac:dyDescent="0.3">
      <c r="C22" s="2"/>
    </row>
    <row r="23" spans="3:3" x14ac:dyDescent="0.3">
      <c r="C23" s="2"/>
    </row>
    <row r="24" spans="3:3" x14ac:dyDescent="0.3">
      <c r="C24" s="2"/>
    </row>
    <row r="25" spans="3:3" x14ac:dyDescent="0.3">
      <c r="C25" s="2"/>
    </row>
    <row r="26" spans="3:3" x14ac:dyDescent="0.3">
      <c r="C26" s="2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29CB1-FD79-4886-AA68-4C41E24B6FDB}">
  <dimension ref="A1:D26"/>
  <sheetViews>
    <sheetView workbookViewId="0">
      <selection activeCell="D6" sqref="D6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bestFit="1" customWidth="1"/>
    <col min="4" max="4" width="8.88671875" style="3"/>
  </cols>
  <sheetData>
    <row r="1" spans="1:4" x14ac:dyDescent="0.3">
      <c r="A1" t="s">
        <v>0</v>
      </c>
      <c r="B1" t="s">
        <v>7</v>
      </c>
      <c r="C1" t="s">
        <v>8</v>
      </c>
      <c r="D1" t="s">
        <v>23</v>
      </c>
    </row>
    <row r="2" spans="1:4" x14ac:dyDescent="0.3">
      <c r="A2">
        <v>1997</v>
      </c>
      <c r="B2" s="2">
        <v>11000000</v>
      </c>
      <c r="C2" s="2">
        <v>84801510.200000003</v>
      </c>
      <c r="D2" s="3">
        <v>7.0000000000000007E-2</v>
      </c>
    </row>
    <row r="3" spans="1:4" x14ac:dyDescent="0.3">
      <c r="A3">
        <v>1998</v>
      </c>
      <c r="B3" s="2">
        <v>4700000</v>
      </c>
      <c r="C3" s="2">
        <v>35460982.530000001</v>
      </c>
      <c r="D3" s="3">
        <v>0.03</v>
      </c>
    </row>
    <row r="4" spans="1:4" x14ac:dyDescent="0.3">
      <c r="A4">
        <v>2000</v>
      </c>
      <c r="B4" s="2">
        <v>5000000</v>
      </c>
      <c r="C4" s="2">
        <v>28618775</v>
      </c>
      <c r="D4" s="3">
        <v>0.01</v>
      </c>
    </row>
    <row r="5" spans="1:4" x14ac:dyDescent="0.3">
      <c r="C5" s="2">
        <f>AVERAGE(C2:C4)</f>
        <v>49627089.24333334</v>
      </c>
      <c r="D5" s="3">
        <f>AVERAGE(D2:D4)</f>
        <v>3.6666666666666667E-2</v>
      </c>
    </row>
    <row r="6" spans="1:4" x14ac:dyDescent="0.3">
      <c r="C6" s="2"/>
    </row>
    <row r="7" spans="1:4" x14ac:dyDescent="0.3">
      <c r="C7" s="2"/>
    </row>
    <row r="8" spans="1:4" x14ac:dyDescent="0.3">
      <c r="C8" s="2"/>
    </row>
    <row r="9" spans="1:4" x14ac:dyDescent="0.3">
      <c r="C9" s="2"/>
    </row>
    <row r="10" spans="1:4" x14ac:dyDescent="0.3">
      <c r="C10" s="2"/>
    </row>
    <row r="11" spans="1:4" x14ac:dyDescent="0.3">
      <c r="C11" s="2"/>
    </row>
    <row r="12" spans="1:4" x14ac:dyDescent="0.3">
      <c r="C12" s="2"/>
    </row>
    <row r="13" spans="1:4" x14ac:dyDescent="0.3">
      <c r="C13" s="2"/>
    </row>
    <row r="14" spans="1:4" x14ac:dyDescent="0.3">
      <c r="C14" s="2"/>
    </row>
    <row r="15" spans="1:4" x14ac:dyDescent="0.3">
      <c r="C15" s="2"/>
    </row>
    <row r="16" spans="1:4" x14ac:dyDescent="0.3">
      <c r="C16" s="2"/>
    </row>
    <row r="17" spans="3:3" x14ac:dyDescent="0.3">
      <c r="C17" s="2"/>
    </row>
    <row r="18" spans="3:3" x14ac:dyDescent="0.3">
      <c r="C18" s="2"/>
    </row>
    <row r="19" spans="3:3" x14ac:dyDescent="0.3">
      <c r="C19" s="2"/>
    </row>
    <row r="20" spans="3:3" x14ac:dyDescent="0.3">
      <c r="C20" s="2"/>
    </row>
    <row r="21" spans="3:3" x14ac:dyDescent="0.3">
      <c r="C21" s="2"/>
    </row>
    <row r="22" spans="3:3" x14ac:dyDescent="0.3">
      <c r="C22" s="2"/>
    </row>
    <row r="23" spans="3:3" x14ac:dyDescent="0.3">
      <c r="C23" s="2"/>
    </row>
    <row r="24" spans="3:3" x14ac:dyDescent="0.3">
      <c r="C24" s="2"/>
    </row>
    <row r="25" spans="3:3" x14ac:dyDescent="0.3">
      <c r="C25" s="2"/>
    </row>
    <row r="26" spans="3:3" x14ac:dyDescent="0.3">
      <c r="C26" s="2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736C-B22E-40BC-9D56-ECB1164B14D1}">
  <dimension ref="A1:C26"/>
  <sheetViews>
    <sheetView workbookViewId="0">
      <selection activeCell="C6" sqref="C6"/>
    </sheetView>
  </sheetViews>
  <sheetFormatPr defaultRowHeight="14.4" x14ac:dyDescent="0.3"/>
  <cols>
    <col min="1" max="1" width="11.21875" bestFit="1" customWidth="1"/>
    <col min="2" max="2" width="16.21875" style="2" bestFit="1" customWidth="1"/>
    <col min="3" max="3" width="18.33203125" bestFit="1" customWidth="1"/>
  </cols>
  <sheetData>
    <row r="1" spans="1:3" x14ac:dyDescent="0.3">
      <c r="A1" t="s">
        <v>0</v>
      </c>
      <c r="B1" t="s">
        <v>7</v>
      </c>
      <c r="C1" t="s">
        <v>8</v>
      </c>
    </row>
    <row r="2" spans="1:3" x14ac:dyDescent="0.3">
      <c r="A2">
        <v>1996</v>
      </c>
      <c r="B2" s="2">
        <v>125000000</v>
      </c>
      <c r="C2" s="2">
        <v>1037153987.5</v>
      </c>
    </row>
    <row r="3" spans="1:3" x14ac:dyDescent="0.3">
      <c r="A3">
        <v>1997</v>
      </c>
      <c r="B3" s="2">
        <v>133180780</v>
      </c>
      <c r="C3" s="2">
        <v>1026721024.87</v>
      </c>
    </row>
    <row r="4" spans="1:3" x14ac:dyDescent="0.3">
      <c r="A4">
        <v>1998</v>
      </c>
      <c r="B4" s="2">
        <v>109776000</v>
      </c>
      <c r="C4" s="2">
        <v>828247833.65999997</v>
      </c>
    </row>
    <row r="5" spans="1:3" x14ac:dyDescent="0.3">
      <c r="C5" s="2">
        <f>AVERAGE(C2:C4)</f>
        <v>964040948.67666662</v>
      </c>
    </row>
    <row r="6" spans="1:3" x14ac:dyDescent="0.3">
      <c r="C6" s="2"/>
    </row>
    <row r="7" spans="1:3" x14ac:dyDescent="0.3">
      <c r="C7" s="2"/>
    </row>
    <row r="8" spans="1:3" x14ac:dyDescent="0.3">
      <c r="C8" s="2"/>
    </row>
    <row r="9" spans="1:3" x14ac:dyDescent="0.3">
      <c r="C9" s="2"/>
    </row>
    <row r="10" spans="1:3" x14ac:dyDescent="0.3">
      <c r="C10" s="2"/>
    </row>
    <row r="11" spans="1:3" x14ac:dyDescent="0.3">
      <c r="C11" s="2"/>
    </row>
    <row r="12" spans="1:3" x14ac:dyDescent="0.3">
      <c r="C12" s="2"/>
    </row>
    <row r="13" spans="1:3" x14ac:dyDescent="0.3">
      <c r="C13" s="2"/>
    </row>
    <row r="14" spans="1:3" x14ac:dyDescent="0.3">
      <c r="C14" s="2"/>
    </row>
    <row r="15" spans="1:3" x14ac:dyDescent="0.3">
      <c r="C15" s="2"/>
    </row>
    <row r="16" spans="1:3" x14ac:dyDescent="0.3">
      <c r="C16" s="2"/>
    </row>
    <row r="17" spans="3:3" x14ac:dyDescent="0.3">
      <c r="C17" s="2"/>
    </row>
    <row r="18" spans="3:3" x14ac:dyDescent="0.3">
      <c r="C18" s="2"/>
    </row>
    <row r="19" spans="3:3" x14ac:dyDescent="0.3">
      <c r="C19" s="2"/>
    </row>
    <row r="20" spans="3:3" x14ac:dyDescent="0.3">
      <c r="C20" s="2"/>
    </row>
    <row r="21" spans="3:3" x14ac:dyDescent="0.3">
      <c r="C21" s="2"/>
    </row>
    <row r="22" spans="3:3" x14ac:dyDescent="0.3">
      <c r="C22" s="2"/>
    </row>
    <row r="23" spans="3:3" x14ac:dyDescent="0.3">
      <c r="C23" s="2"/>
    </row>
    <row r="24" spans="3:3" x14ac:dyDescent="0.3">
      <c r="C24" s="2"/>
    </row>
    <row r="25" spans="3:3" x14ac:dyDescent="0.3">
      <c r="C25" s="2"/>
    </row>
    <row r="26" spans="3:3" x14ac:dyDescent="0.3">
      <c r="C26" s="2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55</vt:i4>
      </vt:variant>
    </vt:vector>
  </HeadingPairs>
  <TitlesOfParts>
    <vt:vector size="55" baseType="lpstr">
      <vt:lpstr>Aracruz-ES</vt:lpstr>
      <vt:lpstr>Atibaia-SP</vt:lpstr>
      <vt:lpstr>Bagé-RS</vt:lpstr>
      <vt:lpstr>Bauru-SP</vt:lpstr>
      <vt:lpstr>Belém-PA</vt:lpstr>
      <vt:lpstr>Belo Horizonte-MG</vt:lpstr>
      <vt:lpstr>Biguaçu-SC</vt:lpstr>
      <vt:lpstr>Blumenau-SC</vt:lpstr>
      <vt:lpstr>Brasília-DF</vt:lpstr>
      <vt:lpstr>Brusque-SC</vt:lpstr>
      <vt:lpstr>Cáceres-MT</vt:lpstr>
      <vt:lpstr>Campina Grande-PB</vt:lpstr>
      <vt:lpstr>Campinas-SP</vt:lpstr>
      <vt:lpstr>Campo Grande-MS</vt:lpstr>
      <vt:lpstr>Canoas-RS</vt:lpstr>
      <vt:lpstr>Caraguatatuba-SP</vt:lpstr>
      <vt:lpstr>Cariacica-ES</vt:lpstr>
      <vt:lpstr>Caxias do Sul-RS</vt:lpstr>
      <vt:lpstr>Chapecó-SC</vt:lpstr>
      <vt:lpstr>Concórdia-SC</vt:lpstr>
      <vt:lpstr>Contagem-MG</vt:lpstr>
      <vt:lpstr>Criciúma-SC</vt:lpstr>
      <vt:lpstr>Diadema-SP</vt:lpstr>
      <vt:lpstr>Fortaleza-CE</vt:lpstr>
      <vt:lpstr>Gaspar-SC</vt:lpstr>
      <vt:lpstr>Goiânia-GO</vt:lpstr>
      <vt:lpstr>Gravataí-RS</vt:lpstr>
      <vt:lpstr>Ipatinga-MG</vt:lpstr>
      <vt:lpstr>Itabira-MG</vt:lpstr>
      <vt:lpstr>Jaboticabal-SP</vt:lpstr>
      <vt:lpstr>Joinville-SC</vt:lpstr>
      <vt:lpstr>Macaé-RJ</vt:lpstr>
      <vt:lpstr>Maringá-PR</vt:lpstr>
      <vt:lpstr>Natal-RN</vt:lpstr>
      <vt:lpstr>Niterói-RJ</vt:lpstr>
      <vt:lpstr>Novo Hamburgo-RS</vt:lpstr>
      <vt:lpstr>Olinda-PE</vt:lpstr>
      <vt:lpstr>Petrópolis-RJ</vt:lpstr>
      <vt:lpstr>Piracicaba-SP</vt:lpstr>
      <vt:lpstr>Porto Alegre-RS</vt:lpstr>
      <vt:lpstr>Recife-PE</vt:lpstr>
      <vt:lpstr>Ribeirão Preto-SP</vt:lpstr>
      <vt:lpstr>Salvador-BA</vt:lpstr>
      <vt:lpstr>São Leopoldo-RS</vt:lpstr>
      <vt:lpstr>São Luís-MA</vt:lpstr>
      <vt:lpstr>São Paulo-SP</vt:lpstr>
      <vt:lpstr>Serra-ES</vt:lpstr>
      <vt:lpstr>Suzano-SP</vt:lpstr>
      <vt:lpstr>Sorocaba-SP</vt:lpstr>
      <vt:lpstr>Teresina-PI</vt:lpstr>
      <vt:lpstr>Toledo-PR</vt:lpstr>
      <vt:lpstr>Vila Velha - ES</vt:lpstr>
      <vt:lpstr>Vitória-ES</vt:lpstr>
      <vt:lpstr>Vitória da Conquista - BA</vt:lpstr>
      <vt:lpstr>Gráfico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Sartori Bogo</dc:creator>
  <cp:lastModifiedBy>Rodrigo Sartori Bogo</cp:lastModifiedBy>
  <dcterms:created xsi:type="dcterms:W3CDTF">2024-06-05T20:42:33Z</dcterms:created>
  <dcterms:modified xsi:type="dcterms:W3CDTF">2025-03-04T19:56:40Z</dcterms:modified>
</cp:coreProperties>
</file>