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esp\Desktop\"/>
    </mc:Choice>
  </mc:AlternateContent>
  <xr:revisionPtr revIDLastSave="0" documentId="8_{0ABF1929-7F90-4A0C-A213-7290F0777116}" xr6:coauthVersionLast="45" xr6:coauthVersionMax="45" xr10:uidLastSave="{00000000-0000-0000-0000-000000000000}"/>
  <bookViews>
    <workbookView xWindow="-120" yWindow="-120" windowWidth="24240" windowHeight="13140" xr2:uid="{DA6BBB0B-EDAA-487B-AA67-CC160960563B}"/>
  </bookViews>
  <sheets>
    <sheet name="metadata" sheetId="26" r:id="rId1"/>
    <sheet name="Pg susceptibility" sheetId="1" r:id="rId2"/>
    <sheet name="ISO susceptibility " sheetId="2" r:id="rId3"/>
    <sheet name="ISO hemocytes 30 min" sheetId="3" r:id="rId4"/>
    <sheet name="ISO hemocytes 90 min" sheetId="4" r:id="rId5"/>
    <sheet name="ISO hemocytes 180 min" sheetId="5" r:id="rId6"/>
    <sheet name="NE susceptibility" sheetId="6" r:id="rId7"/>
    <sheet name="NE hemocytes 30 min" sheetId="7" r:id="rId8"/>
    <sheet name="NE hemocytes 90 min" sheetId="8" r:id="rId9"/>
    <sheet name="NE hemocytes 180 min" sheetId="9" r:id="rId10"/>
    <sheet name="OCT susceptibility" sheetId="16" r:id="rId11"/>
    <sheet name="OCT hemocytes 30 min" sheetId="17" r:id="rId12"/>
    <sheet name="100pM ISO +P. gingivalis" sheetId="10" r:id="rId13"/>
    <sheet name="Hemocytes Pg +100pM ISO" sheetId="11" r:id="rId14"/>
    <sheet name="melanization Pg +100pM ISO" sheetId="12" r:id="rId15"/>
    <sheet name="Sessile-circulating Hem ISO" sheetId="13" r:id="rId16"/>
    <sheet name="Sessile-circulating Hem OCT" sheetId="14" r:id="rId17"/>
    <sheet name="hemocytes +propanolol" sheetId="15" r:id="rId18"/>
    <sheet name="NE +P.gingivalis" sheetId="18" r:id="rId19"/>
    <sheet name="Ne+ Pg melanization" sheetId="19" r:id="rId20"/>
    <sheet name="Pg recovery hemolymph" sheetId="20" r:id="rId21"/>
    <sheet name="nodules formation" sheetId="23" r:id="rId22"/>
    <sheet name="AMPs" sheetId="24" r:id="rId23"/>
    <sheet name="ligand action on PG" sheetId="21" r:id="rId24"/>
    <sheet name="Virulence gene expression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18" l="1"/>
  <c r="C16" i="14"/>
  <c r="H22" i="17"/>
  <c r="B8" i="17"/>
  <c r="F23" i="7"/>
  <c r="G23" i="7"/>
  <c r="F22" i="7"/>
  <c r="E23" i="7"/>
  <c r="G22" i="7"/>
  <c r="G21" i="7"/>
  <c r="F21" i="7"/>
  <c r="E22" i="7"/>
  <c r="G20" i="7"/>
  <c r="E21" i="7"/>
  <c r="B23" i="7"/>
  <c r="G19" i="7"/>
  <c r="F20" i="7"/>
  <c r="E20" i="7"/>
  <c r="B22" i="7"/>
  <c r="F19" i="7"/>
  <c r="E19" i="7"/>
  <c r="B21" i="7"/>
  <c r="F18" i="7"/>
  <c r="E18" i="7"/>
  <c r="B20" i="7"/>
  <c r="G18" i="7"/>
  <c r="E17" i="7"/>
  <c r="B19" i="7"/>
  <c r="G17" i="7"/>
  <c r="F17" i="7"/>
  <c r="F16" i="7"/>
  <c r="E16" i="7"/>
  <c r="B18" i="7"/>
  <c r="I23" i="7"/>
  <c r="G16" i="7"/>
  <c r="C23" i="7"/>
  <c r="B17" i="7"/>
  <c r="I22" i="7"/>
  <c r="H22" i="7"/>
  <c r="G15" i="7"/>
  <c r="F15" i="7"/>
  <c r="D22" i="7"/>
  <c r="C22" i="7"/>
  <c r="I21" i="7"/>
  <c r="H21" i="7"/>
  <c r="D21" i="7"/>
  <c r="C21" i="7"/>
  <c r="B16" i="7"/>
  <c r="I20" i="7"/>
  <c r="H20" i="7"/>
  <c r="G14" i="7"/>
  <c r="E15" i="7"/>
  <c r="D20" i="7"/>
  <c r="C20" i="7"/>
  <c r="B15" i="7"/>
  <c r="I19" i="7"/>
  <c r="H19" i="7"/>
  <c r="G13" i="7"/>
  <c r="F14" i="7"/>
  <c r="E14" i="7"/>
  <c r="D19" i="7"/>
  <c r="C19" i="7"/>
  <c r="B14" i="7"/>
  <c r="I18" i="7"/>
  <c r="H18" i="7"/>
  <c r="F13" i="7"/>
  <c r="E13" i="7"/>
  <c r="D18" i="7"/>
  <c r="C18" i="7"/>
  <c r="B13" i="7"/>
  <c r="I17" i="7"/>
  <c r="H17" i="7"/>
  <c r="F12" i="7"/>
  <c r="D17" i="7"/>
  <c r="C17" i="7"/>
  <c r="B12" i="7"/>
  <c r="I16" i="7"/>
  <c r="H16" i="7"/>
  <c r="G12" i="7"/>
  <c r="F11" i="7"/>
  <c r="D16" i="7"/>
  <c r="C16" i="7"/>
  <c r="I15" i="7"/>
  <c r="H15" i="7"/>
  <c r="G11" i="7"/>
  <c r="E12" i="7"/>
  <c r="D15" i="7"/>
  <c r="C15" i="7"/>
  <c r="B11" i="7"/>
  <c r="I14" i="7"/>
  <c r="H14" i="7"/>
  <c r="E11" i="7"/>
  <c r="D14" i="7"/>
  <c r="C14" i="7"/>
  <c r="I13" i="7"/>
  <c r="H13" i="7"/>
  <c r="D13" i="7"/>
  <c r="B10" i="7"/>
  <c r="I12" i="7"/>
  <c r="H12" i="7"/>
  <c r="G9" i="7"/>
  <c r="F10" i="7"/>
  <c r="D12" i="7"/>
  <c r="C12" i="7"/>
  <c r="B9" i="7"/>
  <c r="I11" i="7"/>
  <c r="H11" i="7"/>
  <c r="E10" i="7"/>
  <c r="D11" i="7"/>
  <c r="C11" i="7"/>
  <c r="B8" i="7"/>
  <c r="I10" i="7"/>
  <c r="H10" i="7"/>
  <c r="G8" i="7"/>
  <c r="F9" i="7"/>
  <c r="D10" i="7"/>
  <c r="C10" i="7"/>
  <c r="I9" i="7"/>
  <c r="H9" i="7"/>
  <c r="F8" i="7"/>
  <c r="E9" i="7"/>
  <c r="D9" i="7"/>
  <c r="C9" i="7"/>
  <c r="I8" i="7"/>
  <c r="H8" i="7"/>
  <c r="G7" i="7"/>
  <c r="E8" i="7"/>
  <c r="D8" i="7"/>
  <c r="C8" i="7"/>
  <c r="B7" i="7"/>
  <c r="I7" i="7"/>
  <c r="H7" i="7"/>
  <c r="G6" i="7"/>
  <c r="F7" i="7"/>
  <c r="E7" i="7"/>
  <c r="D7" i="7"/>
  <c r="C7" i="7"/>
  <c r="B6" i="7"/>
  <c r="I6" i="7"/>
  <c r="H6" i="7"/>
  <c r="G5" i="7"/>
  <c r="F6" i="7"/>
  <c r="E6" i="7"/>
  <c r="D6" i="7"/>
  <c r="C6" i="7"/>
  <c r="I5" i="7"/>
  <c r="H5" i="7"/>
  <c r="G4" i="7"/>
  <c r="F5" i="7"/>
  <c r="E5" i="7"/>
  <c r="D5" i="7"/>
  <c r="C5" i="7"/>
  <c r="B5" i="7"/>
  <c r="I4" i="7"/>
  <c r="H4" i="7"/>
  <c r="F4" i="7"/>
  <c r="E4" i="7"/>
  <c r="D4" i="7"/>
  <c r="C4" i="7"/>
  <c r="B4" i="7"/>
  <c r="Y39" i="25" l="1"/>
  <c r="T39" i="25"/>
  <c r="Y38" i="25"/>
  <c r="T38" i="25"/>
  <c r="Y37" i="25"/>
  <c r="T37" i="25"/>
  <c r="Y36" i="25"/>
  <c r="T36" i="25"/>
  <c r="Y35" i="25"/>
  <c r="T35" i="25"/>
  <c r="Y34" i="25"/>
  <c r="T34" i="25"/>
  <c r="Y32" i="25"/>
  <c r="T32" i="25"/>
  <c r="Y31" i="25"/>
  <c r="T31" i="25"/>
  <c r="Y30" i="25"/>
  <c r="T30" i="25"/>
  <c r="Y29" i="25"/>
  <c r="T29" i="25"/>
  <c r="Y28" i="25"/>
  <c r="T28" i="25"/>
  <c r="Y27" i="25"/>
  <c r="T27" i="25"/>
  <c r="Y24" i="25"/>
  <c r="T24" i="25"/>
  <c r="Y23" i="25"/>
  <c r="T23" i="25"/>
  <c r="Y22" i="25"/>
  <c r="T22" i="25"/>
  <c r="Y21" i="25"/>
  <c r="T21" i="25"/>
  <c r="Y20" i="25"/>
  <c r="T20" i="25"/>
  <c r="Y19" i="25"/>
  <c r="T19" i="25"/>
  <c r="Y16" i="25"/>
  <c r="T16" i="25"/>
  <c r="Y15" i="25"/>
  <c r="T15" i="25"/>
  <c r="Y14" i="25"/>
  <c r="T14" i="25"/>
  <c r="Y13" i="25"/>
  <c r="T13" i="25"/>
  <c r="Y12" i="25"/>
  <c r="T12" i="25"/>
  <c r="Y11" i="25"/>
  <c r="T11" i="25"/>
  <c r="Y8" i="25"/>
  <c r="T8" i="25"/>
  <c r="Y7" i="25"/>
  <c r="T7" i="25"/>
  <c r="Y6" i="25"/>
  <c r="T6" i="25"/>
  <c r="Y5" i="25"/>
  <c r="T5" i="25"/>
  <c r="Y4" i="25"/>
  <c r="T4" i="25"/>
  <c r="Y3" i="25"/>
  <c r="T3" i="25"/>
  <c r="J39" i="25"/>
  <c r="E39" i="25"/>
  <c r="J38" i="25"/>
  <c r="E38" i="25"/>
  <c r="J37" i="25"/>
  <c r="E37" i="25"/>
  <c r="J36" i="25"/>
  <c r="E36" i="25"/>
  <c r="J35" i="25"/>
  <c r="E35" i="25"/>
  <c r="J34" i="25"/>
  <c r="E34" i="25"/>
  <c r="J32" i="25"/>
  <c r="E32" i="25"/>
  <c r="J31" i="25"/>
  <c r="E31" i="25"/>
  <c r="J30" i="25"/>
  <c r="E30" i="25"/>
  <c r="J29" i="25"/>
  <c r="E29" i="25"/>
  <c r="J28" i="25"/>
  <c r="E28" i="25"/>
  <c r="J27" i="25"/>
  <c r="E27" i="25"/>
  <c r="J24" i="25"/>
  <c r="E24" i="25"/>
  <c r="J23" i="25"/>
  <c r="E23" i="25"/>
  <c r="J22" i="25"/>
  <c r="E22" i="25"/>
  <c r="J21" i="25"/>
  <c r="E21" i="25"/>
  <c r="J20" i="25"/>
  <c r="E20" i="25"/>
  <c r="J19" i="25"/>
  <c r="E19" i="25"/>
  <c r="J16" i="25"/>
  <c r="E16" i="25"/>
  <c r="J15" i="25"/>
  <c r="E15" i="25"/>
  <c r="J14" i="25"/>
  <c r="E14" i="25"/>
  <c r="J13" i="25"/>
  <c r="E13" i="25"/>
  <c r="J12" i="25"/>
  <c r="E12" i="25"/>
  <c r="J11" i="25"/>
  <c r="E11" i="25"/>
  <c r="J8" i="25"/>
  <c r="E8" i="25"/>
  <c r="J7" i="25"/>
  <c r="E7" i="25"/>
  <c r="J6" i="25"/>
  <c r="E6" i="25"/>
  <c r="J5" i="25"/>
  <c r="E5" i="25"/>
  <c r="J4" i="25"/>
  <c r="E4" i="25"/>
  <c r="J3" i="25"/>
  <c r="E3" i="25"/>
  <c r="AC54" i="24"/>
  <c r="AC55" i="24"/>
  <c r="AC56" i="24"/>
  <c r="AC57" i="24"/>
  <c r="AC40" i="24"/>
  <c r="AC41" i="24"/>
  <c r="AC42" i="24"/>
  <c r="AC25" i="24"/>
  <c r="AC26" i="24"/>
  <c r="AC27" i="24"/>
  <c r="X27" i="24"/>
  <c r="X26" i="24"/>
  <c r="X25" i="24"/>
  <c r="X42" i="24"/>
  <c r="X41" i="24"/>
  <c r="X40" i="24"/>
  <c r="X57" i="24"/>
  <c r="X56" i="24"/>
  <c r="X55" i="24"/>
  <c r="X54" i="24"/>
  <c r="J54" i="24"/>
  <c r="J55" i="24"/>
  <c r="J56" i="24"/>
  <c r="J57" i="24"/>
  <c r="E54" i="24"/>
  <c r="E55" i="24"/>
  <c r="E56" i="24"/>
  <c r="E57" i="24"/>
  <c r="E41" i="24"/>
  <c r="E42" i="24"/>
  <c r="E43" i="24"/>
  <c r="J43" i="24"/>
  <c r="J41" i="24"/>
  <c r="J42" i="24"/>
  <c r="J25" i="24"/>
  <c r="J26" i="24"/>
  <c r="J27" i="24"/>
  <c r="E25" i="24"/>
  <c r="E26" i="24"/>
  <c r="E27" i="24"/>
  <c r="J53" i="24"/>
  <c r="E53" i="24"/>
  <c r="AC53" i="24"/>
  <c r="X53" i="24"/>
  <c r="J52" i="24"/>
  <c r="E52" i="24"/>
  <c r="AC52" i="24"/>
  <c r="X52" i="24"/>
  <c r="J51" i="24"/>
  <c r="E51" i="24"/>
  <c r="AC51" i="24"/>
  <c r="X51" i="24"/>
  <c r="J50" i="24"/>
  <c r="E50" i="24"/>
  <c r="AC50" i="24"/>
  <c r="X50" i="24"/>
  <c r="J49" i="24"/>
  <c r="E49" i="24"/>
  <c r="AC49" i="24"/>
  <c r="X49" i="24"/>
  <c r="J48" i="24"/>
  <c r="E48" i="24"/>
  <c r="AC48" i="24"/>
  <c r="X48" i="24"/>
  <c r="J47" i="24"/>
  <c r="E47" i="24"/>
  <c r="AC47" i="24"/>
  <c r="X47" i="24"/>
  <c r="J46" i="24"/>
  <c r="E46" i="24"/>
  <c r="AC46" i="24"/>
  <c r="X46" i="24"/>
  <c r="J45" i="24"/>
  <c r="E45" i="24"/>
  <c r="AC45" i="24"/>
  <c r="X45" i="24"/>
  <c r="J40" i="24"/>
  <c r="E40" i="24"/>
  <c r="AC39" i="24"/>
  <c r="X39" i="24"/>
  <c r="J39" i="24"/>
  <c r="E39" i="24"/>
  <c r="AC38" i="24"/>
  <c r="X38" i="24"/>
  <c r="J38" i="24"/>
  <c r="E38" i="24"/>
  <c r="AC37" i="24"/>
  <c r="X37" i="24"/>
  <c r="J37" i="24"/>
  <c r="E37" i="24"/>
  <c r="AC36" i="24"/>
  <c r="X36" i="24"/>
  <c r="J36" i="24"/>
  <c r="E36" i="24"/>
  <c r="AC35" i="24"/>
  <c r="X35" i="24"/>
  <c r="J35" i="24"/>
  <c r="E35" i="24"/>
  <c r="AC34" i="24"/>
  <c r="X34" i="24"/>
  <c r="J34" i="24"/>
  <c r="E34" i="24"/>
  <c r="AC33" i="24"/>
  <c r="X33" i="24"/>
  <c r="J33" i="24"/>
  <c r="E33" i="24"/>
  <c r="AC32" i="24"/>
  <c r="X32" i="24"/>
  <c r="J32" i="24"/>
  <c r="E32" i="24"/>
  <c r="AC31" i="24"/>
  <c r="X31" i="24"/>
  <c r="J31" i="24"/>
  <c r="E31" i="24"/>
  <c r="AC30" i="24"/>
  <c r="X30" i="24"/>
  <c r="J30" i="24"/>
  <c r="E30" i="24"/>
  <c r="AC29" i="24"/>
  <c r="X29" i="24"/>
  <c r="AC24" i="24"/>
  <c r="X24" i="24"/>
  <c r="J24" i="24"/>
  <c r="E24" i="24"/>
  <c r="AC23" i="24"/>
  <c r="X23" i="24"/>
  <c r="J23" i="24"/>
  <c r="E23" i="24"/>
  <c r="AC22" i="24"/>
  <c r="X22" i="24"/>
  <c r="J22" i="24"/>
  <c r="E22" i="24"/>
  <c r="AC21" i="24"/>
  <c r="X21" i="24"/>
  <c r="J21" i="24"/>
  <c r="E21" i="24"/>
  <c r="AC20" i="24"/>
  <c r="X20" i="24"/>
  <c r="J20" i="24"/>
  <c r="E20" i="24"/>
  <c r="AC19" i="24"/>
  <c r="X19" i="24"/>
  <c r="J19" i="24"/>
  <c r="E19" i="24"/>
  <c r="AC18" i="24"/>
  <c r="X18" i="24"/>
  <c r="J18" i="24"/>
  <c r="E18" i="24"/>
  <c r="AC17" i="24"/>
  <c r="X17" i="24"/>
  <c r="J17" i="24"/>
  <c r="E17" i="24"/>
  <c r="AC16" i="24"/>
  <c r="X16" i="24"/>
  <c r="J16" i="24"/>
  <c r="E16" i="24"/>
  <c r="AC13" i="24"/>
  <c r="X13" i="24"/>
  <c r="J13" i="24"/>
  <c r="E13" i="24"/>
  <c r="AC12" i="24"/>
  <c r="X12" i="24"/>
  <c r="J12" i="24"/>
  <c r="E12" i="24"/>
  <c r="AC11" i="24"/>
  <c r="X11" i="24"/>
  <c r="J11" i="24"/>
  <c r="E11" i="24"/>
  <c r="AC10" i="24"/>
  <c r="X10" i="24"/>
  <c r="J10" i="24"/>
  <c r="E10" i="24"/>
  <c r="AC9" i="24"/>
  <c r="X9" i="24"/>
  <c r="J9" i="24"/>
  <c r="E9" i="24"/>
  <c r="AC8" i="24"/>
  <c r="X8" i="24"/>
  <c r="J8" i="24"/>
  <c r="E8" i="24"/>
  <c r="AC7" i="24"/>
  <c r="X7" i="24"/>
  <c r="J7" i="24"/>
  <c r="E7" i="24"/>
  <c r="AC6" i="24"/>
  <c r="X6" i="24"/>
  <c r="J6" i="24"/>
  <c r="E6" i="24"/>
  <c r="AC5" i="24"/>
  <c r="X5" i="24"/>
  <c r="J5" i="24"/>
  <c r="E5" i="24"/>
  <c r="AC4" i="24"/>
  <c r="X4" i="24"/>
  <c r="J4" i="24"/>
  <c r="E4" i="24"/>
  <c r="AC3" i="24"/>
  <c r="X3" i="24"/>
  <c r="J3" i="24"/>
  <c r="E3" i="24"/>
  <c r="C14" i="20"/>
  <c r="B14" i="20"/>
  <c r="A14" i="20"/>
  <c r="C13" i="20"/>
  <c r="B13" i="20"/>
  <c r="A13" i="20"/>
  <c r="C12" i="20"/>
  <c r="B12" i="20"/>
  <c r="A12" i="20"/>
  <c r="C11" i="20"/>
  <c r="B11" i="20"/>
  <c r="A11" i="20"/>
  <c r="C10" i="20"/>
  <c r="B10" i="20"/>
  <c r="A10" i="20"/>
  <c r="C9" i="20"/>
  <c r="B9" i="20"/>
  <c r="A9" i="20"/>
  <c r="C8" i="20"/>
  <c r="B8" i="20"/>
  <c r="A8" i="20"/>
  <c r="C7" i="20"/>
  <c r="B7" i="20"/>
  <c r="A7" i="20"/>
  <c r="C6" i="20"/>
  <c r="B6" i="20"/>
  <c r="A6" i="20"/>
  <c r="C5" i="20"/>
  <c r="B5" i="20"/>
  <c r="A5" i="20"/>
  <c r="Q23" i="18"/>
  <c r="P22" i="18"/>
  <c r="Q22" i="18"/>
  <c r="P21" i="18"/>
  <c r="Q21" i="18"/>
  <c r="P20" i="18"/>
  <c r="Q20" i="18"/>
  <c r="Q19" i="18"/>
  <c r="P19" i="18"/>
  <c r="Q18" i="18"/>
  <c r="P18" i="18"/>
  <c r="S23" i="18"/>
  <c r="R23" i="18"/>
  <c r="Q17" i="18"/>
  <c r="P17" i="18"/>
  <c r="S22" i="18"/>
  <c r="R22" i="18"/>
  <c r="Q16" i="18"/>
  <c r="P16" i="18"/>
  <c r="S21" i="18"/>
  <c r="R21" i="18"/>
  <c r="P15" i="18"/>
  <c r="S20" i="18"/>
  <c r="R20" i="18"/>
  <c r="S19" i="18"/>
  <c r="R19" i="18"/>
  <c r="Q15" i="18"/>
  <c r="P14" i="18"/>
  <c r="S18" i="18"/>
  <c r="R18" i="18"/>
  <c r="Q14" i="18"/>
  <c r="P13" i="18"/>
  <c r="S17" i="18"/>
  <c r="R17" i="18"/>
  <c r="S16" i="18"/>
  <c r="R16" i="18"/>
  <c r="Q13" i="18"/>
  <c r="P12" i="18"/>
  <c r="S15" i="18"/>
  <c r="R15" i="18"/>
  <c r="Q12" i="18"/>
  <c r="P11" i="18"/>
  <c r="S14" i="18"/>
  <c r="R14" i="18"/>
  <c r="P10" i="18"/>
  <c r="S13" i="18"/>
  <c r="R13" i="18"/>
  <c r="S12" i="18"/>
  <c r="R12" i="18"/>
  <c r="Q11" i="18"/>
  <c r="P9" i="18"/>
  <c r="S11" i="18"/>
  <c r="R11" i="18"/>
  <c r="Q10" i="18"/>
  <c r="S10" i="18"/>
  <c r="R10" i="18"/>
  <c r="Q9" i="18"/>
  <c r="S9" i="18"/>
  <c r="R9" i="18"/>
  <c r="Q8" i="18"/>
  <c r="P8" i="18"/>
  <c r="S8" i="18"/>
  <c r="R8" i="18"/>
  <c r="Q7" i="18"/>
  <c r="P7" i="18"/>
  <c r="S7" i="18"/>
  <c r="R7" i="18"/>
  <c r="Q6" i="18"/>
  <c r="S6" i="18"/>
  <c r="R6" i="18"/>
  <c r="Q5" i="18"/>
  <c r="P6" i="18"/>
  <c r="S5" i="18"/>
  <c r="R5" i="18"/>
  <c r="P5" i="18"/>
  <c r="S4" i="18"/>
  <c r="R4" i="18"/>
  <c r="Q4" i="18"/>
  <c r="P4" i="18"/>
  <c r="J23" i="17"/>
  <c r="I23" i="17"/>
  <c r="H23" i="17"/>
  <c r="G23" i="17"/>
  <c r="F23" i="17"/>
  <c r="E23" i="17"/>
  <c r="D23" i="17"/>
  <c r="C23" i="17"/>
  <c r="B23" i="17"/>
  <c r="J22" i="17"/>
  <c r="I22" i="17"/>
  <c r="G22" i="17"/>
  <c r="F22" i="17"/>
  <c r="E22" i="17"/>
  <c r="D22" i="17"/>
  <c r="C22" i="17"/>
  <c r="B22" i="17"/>
  <c r="H21" i="17"/>
  <c r="E21" i="17"/>
  <c r="J21" i="17"/>
  <c r="I21" i="17"/>
  <c r="H20" i="17"/>
  <c r="G21" i="17"/>
  <c r="F21" i="17"/>
  <c r="E20" i="17"/>
  <c r="D21" i="17"/>
  <c r="C21" i="17"/>
  <c r="J20" i="17"/>
  <c r="H19" i="17"/>
  <c r="E19" i="17"/>
  <c r="D20" i="17"/>
  <c r="C20" i="17"/>
  <c r="B21" i="17"/>
  <c r="J19" i="17"/>
  <c r="I20" i="17"/>
  <c r="H18" i="17"/>
  <c r="G20" i="17"/>
  <c r="F20" i="17"/>
  <c r="C19" i="17"/>
  <c r="H17" i="17"/>
  <c r="G19" i="17"/>
  <c r="F19" i="17"/>
  <c r="D19" i="17"/>
  <c r="C18" i="17"/>
  <c r="B20" i="17"/>
  <c r="J18" i="17"/>
  <c r="I19" i="17"/>
  <c r="G18" i="17"/>
  <c r="F18" i="17"/>
  <c r="E18" i="17"/>
  <c r="D18" i="17"/>
  <c r="C17" i="17"/>
  <c r="B19" i="17"/>
  <c r="J17" i="17"/>
  <c r="G17" i="17"/>
  <c r="E17" i="17"/>
  <c r="D17" i="17"/>
  <c r="C16" i="17"/>
  <c r="I18" i="17"/>
  <c r="G16" i="17"/>
  <c r="F17" i="17"/>
  <c r="D16" i="17"/>
  <c r="C15" i="17"/>
  <c r="B18" i="17"/>
  <c r="H16" i="17"/>
  <c r="G15" i="17"/>
  <c r="F16" i="17"/>
  <c r="E16" i="17"/>
  <c r="D15" i="17"/>
  <c r="C14" i="17"/>
  <c r="B17" i="17"/>
  <c r="J16" i="17"/>
  <c r="I17" i="17"/>
  <c r="H15" i="17"/>
  <c r="F15" i="17"/>
  <c r="D14" i="17"/>
  <c r="C13" i="17"/>
  <c r="B16" i="17"/>
  <c r="J15" i="17"/>
  <c r="I16" i="17"/>
  <c r="H14" i="17"/>
  <c r="G14" i="17"/>
  <c r="C12" i="17"/>
  <c r="B15" i="17"/>
  <c r="J14" i="17"/>
  <c r="I15" i="17"/>
  <c r="H13" i="17"/>
  <c r="G13" i="17"/>
  <c r="E15" i="17"/>
  <c r="D13" i="17"/>
  <c r="J13" i="17"/>
  <c r="I14" i="17"/>
  <c r="G12" i="17"/>
  <c r="E14" i="17"/>
  <c r="C11" i="17"/>
  <c r="B14" i="17"/>
  <c r="J12" i="17"/>
  <c r="H12" i="17"/>
  <c r="F14" i="17"/>
  <c r="E13" i="17"/>
  <c r="C10" i="17"/>
  <c r="B13" i="17"/>
  <c r="J11" i="17"/>
  <c r="I13" i="17"/>
  <c r="H11" i="17"/>
  <c r="F13" i="17"/>
  <c r="E12" i="17"/>
  <c r="D12" i="17"/>
  <c r="C9" i="17"/>
  <c r="B12" i="17"/>
  <c r="I12" i="17"/>
  <c r="G11" i="17"/>
  <c r="F12" i="17"/>
  <c r="E11" i="17"/>
  <c r="D11" i="17"/>
  <c r="C8" i="17"/>
  <c r="B11" i="17"/>
  <c r="J10" i="17"/>
  <c r="I11" i="17"/>
  <c r="H10" i="17"/>
  <c r="E10" i="17"/>
  <c r="C7" i="17"/>
  <c r="I10" i="17"/>
  <c r="H9" i="17"/>
  <c r="G10" i="17"/>
  <c r="F11" i="17"/>
  <c r="D10" i="17"/>
  <c r="B10" i="17"/>
  <c r="J9" i="17"/>
  <c r="G9" i="17"/>
  <c r="F10" i="17"/>
  <c r="E9" i="17"/>
  <c r="D9" i="17"/>
  <c r="C6" i="17"/>
  <c r="B9" i="17"/>
  <c r="J8" i="17"/>
  <c r="I9" i="17"/>
  <c r="H8" i="17"/>
  <c r="F9" i="17"/>
  <c r="E8" i="17"/>
  <c r="D8" i="17"/>
  <c r="C5" i="17"/>
  <c r="J7" i="17"/>
  <c r="I8" i="17"/>
  <c r="H7" i="17"/>
  <c r="G8" i="17"/>
  <c r="F8" i="17"/>
  <c r="C4" i="17"/>
  <c r="J6" i="17"/>
  <c r="H6" i="17"/>
  <c r="F7" i="17"/>
  <c r="E7" i="17"/>
  <c r="D7" i="17"/>
  <c r="I7" i="17"/>
  <c r="G7" i="17"/>
  <c r="F6" i="17"/>
  <c r="E6" i="17"/>
  <c r="D6" i="17"/>
  <c r="B7" i="17"/>
  <c r="J5" i="17"/>
  <c r="I6" i="17"/>
  <c r="H5" i="17"/>
  <c r="G6" i="17"/>
  <c r="D5" i="17"/>
  <c r="B6" i="17"/>
  <c r="I5" i="17"/>
  <c r="H4" i="17"/>
  <c r="G5" i="17"/>
  <c r="F5" i="17"/>
  <c r="E5" i="17"/>
  <c r="B5" i="17"/>
  <c r="J4" i="17"/>
  <c r="I4" i="17"/>
  <c r="G4" i="17"/>
  <c r="F4" i="17"/>
  <c r="E4" i="17"/>
  <c r="D4" i="17"/>
  <c r="B4" i="17"/>
  <c r="I50" i="15"/>
  <c r="H50" i="15"/>
  <c r="G50" i="15"/>
  <c r="F50" i="15"/>
  <c r="E50" i="15"/>
  <c r="D50" i="15"/>
  <c r="C50" i="15"/>
  <c r="B50" i="15"/>
  <c r="I49" i="15"/>
  <c r="H49" i="15"/>
  <c r="G49" i="15"/>
  <c r="F49" i="15"/>
  <c r="E49" i="15"/>
  <c r="D49" i="15"/>
  <c r="C49" i="15"/>
  <c r="B49" i="15"/>
  <c r="I48" i="15"/>
  <c r="H48" i="15"/>
  <c r="G48" i="15"/>
  <c r="F48" i="15"/>
  <c r="E48" i="15"/>
  <c r="D48" i="15"/>
  <c r="C48" i="15"/>
  <c r="B48" i="15"/>
  <c r="I47" i="15"/>
  <c r="H47" i="15"/>
  <c r="G47" i="15"/>
  <c r="F47" i="15"/>
  <c r="E47" i="15"/>
  <c r="D47" i="15"/>
  <c r="C47" i="15"/>
  <c r="B47" i="15"/>
  <c r="I46" i="15"/>
  <c r="H46" i="15"/>
  <c r="G46" i="15"/>
  <c r="F46" i="15"/>
  <c r="E46" i="15"/>
  <c r="D46" i="15"/>
  <c r="C46" i="15"/>
  <c r="B46" i="15"/>
  <c r="I45" i="15"/>
  <c r="H45" i="15"/>
  <c r="G45" i="15"/>
  <c r="F45" i="15"/>
  <c r="E45" i="15"/>
  <c r="D45" i="15"/>
  <c r="C45" i="15"/>
  <c r="B45" i="15"/>
  <c r="I44" i="15"/>
  <c r="H44" i="15"/>
  <c r="G44" i="15"/>
  <c r="F44" i="15"/>
  <c r="E44" i="15"/>
  <c r="D44" i="15"/>
  <c r="C44" i="15"/>
  <c r="B44" i="15"/>
  <c r="I43" i="15"/>
  <c r="H43" i="15"/>
  <c r="G43" i="15"/>
  <c r="F43" i="15"/>
  <c r="E43" i="15"/>
  <c r="D43" i="15"/>
  <c r="C43" i="15"/>
  <c r="B43" i="15"/>
  <c r="I42" i="15"/>
  <c r="H42" i="15"/>
  <c r="G42" i="15"/>
  <c r="F42" i="15"/>
  <c r="E42" i="15"/>
  <c r="D42" i="15"/>
  <c r="C42" i="15"/>
  <c r="B42" i="15"/>
  <c r="I41" i="15"/>
  <c r="H41" i="15"/>
  <c r="G41" i="15"/>
  <c r="F41" i="15"/>
  <c r="E41" i="15"/>
  <c r="D41" i="15"/>
  <c r="C41" i="15"/>
  <c r="B41" i="15"/>
  <c r="I40" i="15"/>
  <c r="H40" i="15"/>
  <c r="G40" i="15"/>
  <c r="F40" i="15"/>
  <c r="E40" i="15"/>
  <c r="D40" i="15"/>
  <c r="B40" i="15"/>
  <c r="I39" i="15"/>
  <c r="H39" i="15"/>
  <c r="G39" i="15"/>
  <c r="F39" i="15"/>
  <c r="E39" i="15"/>
  <c r="D39" i="15"/>
  <c r="B39" i="15"/>
  <c r="I38" i="15"/>
  <c r="H38" i="15"/>
  <c r="G38" i="15"/>
  <c r="F38" i="15"/>
  <c r="E38" i="15"/>
  <c r="D38" i="15"/>
  <c r="B38" i="15"/>
  <c r="I37" i="15"/>
  <c r="H37" i="15"/>
  <c r="G37" i="15"/>
  <c r="F37" i="15"/>
  <c r="E37" i="15"/>
  <c r="D37" i="15"/>
  <c r="B37" i="15"/>
  <c r="I36" i="15"/>
  <c r="H36" i="15"/>
  <c r="G36" i="15"/>
  <c r="F36" i="15"/>
  <c r="E36" i="15"/>
  <c r="D36" i="15"/>
  <c r="B36" i="15"/>
  <c r="I35" i="15"/>
  <c r="H35" i="15"/>
  <c r="G35" i="15"/>
  <c r="F35" i="15"/>
  <c r="E35" i="15"/>
  <c r="D35" i="15"/>
  <c r="B35" i="15"/>
  <c r="I34" i="15"/>
  <c r="H34" i="15"/>
  <c r="G34" i="15"/>
  <c r="F34" i="15"/>
  <c r="E34" i="15"/>
  <c r="D34" i="15"/>
  <c r="B34" i="15"/>
  <c r="I33" i="15"/>
  <c r="H33" i="15"/>
  <c r="G33" i="15"/>
  <c r="F33" i="15"/>
  <c r="E33" i="15"/>
  <c r="D33" i="15"/>
  <c r="B33" i="15"/>
  <c r="I32" i="15"/>
  <c r="H32" i="15"/>
  <c r="G32" i="15"/>
  <c r="F32" i="15"/>
  <c r="E32" i="15"/>
  <c r="D32" i="15"/>
  <c r="B32" i="15"/>
  <c r="I31" i="15"/>
  <c r="H31" i="15"/>
  <c r="G31" i="15"/>
  <c r="F31" i="15"/>
  <c r="E31" i="15"/>
  <c r="D31" i="15"/>
  <c r="B31" i="15"/>
  <c r="I25" i="15"/>
  <c r="H25" i="15"/>
  <c r="G25" i="15"/>
  <c r="F25" i="15"/>
  <c r="E25" i="15"/>
  <c r="D25" i="15"/>
  <c r="C25" i="15"/>
  <c r="B25" i="15"/>
  <c r="I24" i="15"/>
  <c r="H24" i="15"/>
  <c r="G24" i="15"/>
  <c r="F24" i="15"/>
  <c r="E24" i="15"/>
  <c r="D24" i="15"/>
  <c r="C24" i="15"/>
  <c r="B24" i="15"/>
  <c r="I23" i="15"/>
  <c r="H23" i="15"/>
  <c r="G23" i="15"/>
  <c r="F23" i="15"/>
  <c r="E23" i="15"/>
  <c r="D23" i="15"/>
  <c r="C23" i="15"/>
  <c r="B23" i="15"/>
  <c r="I22" i="15"/>
  <c r="H22" i="15"/>
  <c r="G22" i="15"/>
  <c r="F22" i="15"/>
  <c r="E22" i="15"/>
  <c r="D22" i="15"/>
  <c r="C22" i="15"/>
  <c r="B22" i="15"/>
  <c r="I21" i="15"/>
  <c r="H21" i="15"/>
  <c r="G21" i="15"/>
  <c r="F21" i="15"/>
  <c r="E21" i="15"/>
  <c r="D21" i="15"/>
  <c r="C21" i="15"/>
  <c r="B21" i="15"/>
  <c r="I20" i="15"/>
  <c r="H20" i="15"/>
  <c r="G20" i="15"/>
  <c r="F20" i="15"/>
  <c r="E20" i="15"/>
  <c r="D20" i="15"/>
  <c r="C20" i="15"/>
  <c r="B20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7" i="15"/>
  <c r="H17" i="15"/>
  <c r="G17" i="15"/>
  <c r="F17" i="15"/>
  <c r="E17" i="15"/>
  <c r="D17" i="15"/>
  <c r="C17" i="15"/>
  <c r="B17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4" i="15"/>
  <c r="H14" i="15"/>
  <c r="G14" i="15"/>
  <c r="F14" i="15"/>
  <c r="E14" i="15"/>
  <c r="D14" i="15"/>
  <c r="C14" i="15"/>
  <c r="B14" i="15"/>
  <c r="I13" i="15"/>
  <c r="H13" i="15"/>
  <c r="G13" i="15"/>
  <c r="F13" i="15"/>
  <c r="E13" i="15"/>
  <c r="D13" i="15"/>
  <c r="C13" i="15"/>
  <c r="B13" i="15"/>
  <c r="I12" i="15"/>
  <c r="H12" i="15"/>
  <c r="G12" i="15"/>
  <c r="F12" i="15"/>
  <c r="E12" i="15"/>
  <c r="D12" i="15"/>
  <c r="C12" i="15"/>
  <c r="B12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9" i="15"/>
  <c r="H9" i="15"/>
  <c r="G9" i="15"/>
  <c r="F9" i="15"/>
  <c r="E9" i="15"/>
  <c r="D9" i="15"/>
  <c r="C9" i="15"/>
  <c r="B9" i="15"/>
  <c r="I8" i="15"/>
  <c r="H8" i="15"/>
  <c r="G8" i="15"/>
  <c r="F8" i="15"/>
  <c r="E8" i="15"/>
  <c r="D8" i="15"/>
  <c r="C8" i="15"/>
  <c r="B8" i="15"/>
  <c r="I7" i="15"/>
  <c r="H7" i="15"/>
  <c r="G7" i="15"/>
  <c r="F7" i="15"/>
  <c r="E7" i="15"/>
  <c r="D7" i="15"/>
  <c r="C7" i="15"/>
  <c r="B7" i="15"/>
  <c r="I6" i="15"/>
  <c r="H6" i="15"/>
  <c r="G6" i="15"/>
  <c r="F6" i="15"/>
  <c r="E6" i="15"/>
  <c r="D6" i="15"/>
  <c r="C6" i="15"/>
  <c r="B6" i="15"/>
  <c r="F23" i="14"/>
  <c r="E23" i="14"/>
  <c r="F22" i="14"/>
  <c r="E22" i="14"/>
  <c r="F21" i="14"/>
  <c r="E21" i="14"/>
  <c r="F20" i="14"/>
  <c r="F19" i="14"/>
  <c r="E20" i="14"/>
  <c r="F18" i="14"/>
  <c r="E19" i="14"/>
  <c r="F17" i="14"/>
  <c r="E18" i="14"/>
  <c r="F16" i="14"/>
  <c r="E17" i="14"/>
  <c r="E16" i="14"/>
  <c r="F15" i="14"/>
  <c r="E15" i="14"/>
  <c r="F14" i="14"/>
  <c r="E14" i="14"/>
  <c r="F13" i="14"/>
  <c r="F12" i="14"/>
  <c r="E13" i="14"/>
  <c r="F11" i="14"/>
  <c r="E12" i="14"/>
  <c r="F10" i="14"/>
  <c r="E11" i="14"/>
  <c r="E10" i="14"/>
  <c r="F9" i="14"/>
  <c r="E9" i="14"/>
  <c r="F8" i="14"/>
  <c r="E8" i="14"/>
  <c r="F7" i="14"/>
  <c r="E7" i="14"/>
  <c r="F6" i="14"/>
  <c r="E6" i="14"/>
  <c r="E5" i="14"/>
  <c r="F5" i="14"/>
  <c r="F4" i="14"/>
  <c r="E4" i="14"/>
  <c r="C23" i="14"/>
  <c r="B23" i="14"/>
  <c r="C22" i="14"/>
  <c r="B22" i="14"/>
  <c r="C21" i="14"/>
  <c r="B21" i="14"/>
  <c r="C20" i="14"/>
  <c r="C19" i="14"/>
  <c r="B20" i="14"/>
  <c r="C18" i="14"/>
  <c r="B19" i="14"/>
  <c r="C17" i="14"/>
  <c r="B18" i="14"/>
  <c r="B17" i="14"/>
  <c r="B16" i="14"/>
  <c r="C15" i="14"/>
  <c r="B15" i="14"/>
  <c r="C14" i="14"/>
  <c r="B14" i="14"/>
  <c r="C13" i="14"/>
  <c r="C12" i="14"/>
  <c r="B13" i="14"/>
  <c r="C11" i="14"/>
  <c r="B12" i="14"/>
  <c r="C10" i="14"/>
  <c r="B11" i="14"/>
  <c r="B10" i="14"/>
  <c r="C9" i="14"/>
  <c r="B9" i="14"/>
  <c r="C8" i="14"/>
  <c r="B8" i="14"/>
  <c r="C7" i="14"/>
  <c r="B7" i="14"/>
  <c r="C6" i="14"/>
  <c r="B6" i="14"/>
  <c r="B5" i="14"/>
  <c r="C5" i="14"/>
  <c r="C4" i="14"/>
  <c r="B4" i="14"/>
  <c r="I23" i="9"/>
  <c r="H23" i="9"/>
  <c r="G23" i="9"/>
  <c r="F23" i="9"/>
  <c r="E23" i="9"/>
  <c r="D23" i="9"/>
  <c r="C23" i="9"/>
  <c r="B23" i="9"/>
  <c r="I22" i="9"/>
  <c r="H22" i="9"/>
  <c r="G22" i="9"/>
  <c r="F22" i="9"/>
  <c r="E22" i="9"/>
  <c r="D22" i="9"/>
  <c r="C22" i="9"/>
  <c r="B22" i="9"/>
  <c r="I21" i="9"/>
  <c r="H21" i="9"/>
  <c r="G21" i="9"/>
  <c r="F21" i="9"/>
  <c r="E21" i="9"/>
  <c r="D21" i="9"/>
  <c r="C21" i="9"/>
  <c r="B21" i="9"/>
  <c r="I20" i="9"/>
  <c r="H20" i="9"/>
  <c r="G20" i="9"/>
  <c r="F20" i="9"/>
  <c r="E20" i="9"/>
  <c r="D20" i="9"/>
  <c r="C20" i="9"/>
  <c r="B20" i="9"/>
  <c r="I19" i="9"/>
  <c r="H19" i="9"/>
  <c r="G19" i="9"/>
  <c r="F19" i="9"/>
  <c r="E19" i="9"/>
  <c r="D19" i="9"/>
  <c r="C19" i="9"/>
  <c r="B19" i="9"/>
  <c r="I18" i="9"/>
  <c r="H18" i="9"/>
  <c r="G18" i="9"/>
  <c r="F18" i="9"/>
  <c r="E18" i="9"/>
  <c r="D18" i="9"/>
  <c r="C18" i="9"/>
  <c r="B18" i="9"/>
  <c r="I17" i="9"/>
  <c r="H17" i="9"/>
  <c r="G17" i="9"/>
  <c r="F17" i="9"/>
  <c r="E17" i="9"/>
  <c r="D17" i="9"/>
  <c r="C17" i="9"/>
  <c r="B17" i="9"/>
  <c r="I16" i="9"/>
  <c r="H16" i="9"/>
  <c r="G16" i="9"/>
  <c r="F16" i="9"/>
  <c r="E16" i="9"/>
  <c r="D16" i="9"/>
  <c r="C16" i="9"/>
  <c r="B16" i="9"/>
  <c r="I15" i="9"/>
  <c r="H15" i="9"/>
  <c r="G15" i="9"/>
  <c r="F15" i="9"/>
  <c r="E15" i="9"/>
  <c r="D15" i="9"/>
  <c r="C15" i="9"/>
  <c r="B15" i="9"/>
  <c r="I14" i="9"/>
  <c r="H14" i="9"/>
  <c r="G14" i="9"/>
  <c r="F14" i="9"/>
  <c r="E14" i="9"/>
  <c r="D14" i="9"/>
  <c r="C14" i="9"/>
  <c r="B14" i="9"/>
  <c r="I13" i="9"/>
  <c r="G13" i="9"/>
  <c r="F13" i="9"/>
  <c r="E13" i="9"/>
  <c r="D13" i="9"/>
  <c r="C13" i="9"/>
  <c r="B13" i="9"/>
  <c r="I12" i="9"/>
  <c r="G12" i="9"/>
  <c r="F12" i="9"/>
  <c r="E12" i="9"/>
  <c r="D12" i="9"/>
  <c r="C12" i="9"/>
  <c r="B12" i="9"/>
  <c r="I11" i="9"/>
  <c r="G11" i="9"/>
  <c r="F11" i="9"/>
  <c r="E11" i="9"/>
  <c r="D11" i="9"/>
  <c r="C11" i="9"/>
  <c r="B11" i="9"/>
  <c r="I10" i="9"/>
  <c r="H10" i="9"/>
  <c r="G10" i="9"/>
  <c r="F10" i="9"/>
  <c r="E10" i="9"/>
  <c r="D10" i="9"/>
  <c r="C10" i="9"/>
  <c r="B10" i="9"/>
  <c r="I9" i="9"/>
  <c r="H9" i="9"/>
  <c r="G9" i="9"/>
  <c r="F9" i="9"/>
  <c r="E9" i="9"/>
  <c r="D9" i="9"/>
  <c r="C9" i="9"/>
  <c r="B9" i="9"/>
  <c r="I8" i="9"/>
  <c r="H8" i="9"/>
  <c r="G8" i="9"/>
  <c r="F8" i="9"/>
  <c r="E8" i="9"/>
  <c r="D8" i="9"/>
  <c r="C8" i="9"/>
  <c r="B8" i="9"/>
  <c r="I7" i="9"/>
  <c r="H7" i="9"/>
  <c r="G7" i="9"/>
  <c r="F7" i="9"/>
  <c r="E7" i="9"/>
  <c r="D7" i="9"/>
  <c r="C7" i="9"/>
  <c r="B7" i="9"/>
  <c r="I6" i="9"/>
  <c r="H6" i="9"/>
  <c r="G6" i="9"/>
  <c r="F6" i="9"/>
  <c r="E6" i="9"/>
  <c r="D6" i="9"/>
  <c r="C6" i="9"/>
  <c r="B6" i="9"/>
  <c r="I5" i="9"/>
  <c r="H5" i="9"/>
  <c r="G5" i="9"/>
  <c r="F5" i="9"/>
  <c r="E5" i="9"/>
  <c r="D5" i="9"/>
  <c r="C5" i="9"/>
  <c r="B5" i="9"/>
  <c r="I4" i="9"/>
  <c r="H4" i="9"/>
  <c r="G4" i="9"/>
  <c r="F4" i="9"/>
  <c r="E4" i="9"/>
  <c r="D4" i="9"/>
  <c r="C4" i="9"/>
  <c r="B4" i="9"/>
  <c r="I23" i="8"/>
  <c r="H23" i="8"/>
  <c r="G23" i="8"/>
  <c r="F23" i="8"/>
  <c r="E23" i="8"/>
  <c r="D23" i="8"/>
  <c r="B23" i="8"/>
  <c r="I22" i="8"/>
  <c r="H22" i="8"/>
  <c r="G22" i="8"/>
  <c r="F22" i="8"/>
  <c r="E22" i="8"/>
  <c r="D22" i="8"/>
  <c r="I21" i="8"/>
  <c r="H21" i="8"/>
  <c r="G21" i="8"/>
  <c r="F21" i="8"/>
  <c r="E21" i="8"/>
  <c r="D21" i="8"/>
  <c r="C23" i="8"/>
  <c r="B22" i="8"/>
  <c r="I20" i="8"/>
  <c r="H20" i="8"/>
  <c r="G20" i="8"/>
  <c r="F20" i="8"/>
  <c r="E20" i="8"/>
  <c r="D20" i="8"/>
  <c r="C22" i="8"/>
  <c r="B21" i="8"/>
  <c r="I19" i="8"/>
  <c r="H19" i="8"/>
  <c r="G19" i="8"/>
  <c r="F19" i="8"/>
  <c r="E19" i="8"/>
  <c r="D19" i="8"/>
  <c r="B20" i="8"/>
  <c r="I18" i="8"/>
  <c r="H18" i="8"/>
  <c r="G18" i="8"/>
  <c r="F18" i="8"/>
  <c r="E18" i="8"/>
  <c r="D18" i="8"/>
  <c r="C21" i="8"/>
  <c r="I17" i="8"/>
  <c r="H17" i="8"/>
  <c r="G17" i="8"/>
  <c r="F17" i="8"/>
  <c r="E17" i="8"/>
  <c r="D17" i="8"/>
  <c r="C20" i="8"/>
  <c r="B19" i="8"/>
  <c r="I16" i="8"/>
  <c r="H16" i="8"/>
  <c r="G16" i="8"/>
  <c r="F16" i="8"/>
  <c r="E16" i="8"/>
  <c r="D16" i="8"/>
  <c r="C19" i="8"/>
  <c r="I15" i="8"/>
  <c r="H15" i="8"/>
  <c r="F15" i="8"/>
  <c r="E15" i="8"/>
  <c r="D15" i="8"/>
  <c r="B18" i="8"/>
  <c r="I14" i="8"/>
  <c r="H14" i="8"/>
  <c r="G14" i="8"/>
  <c r="F14" i="8"/>
  <c r="E14" i="8"/>
  <c r="D14" i="8"/>
  <c r="C18" i="8"/>
  <c r="B17" i="8"/>
  <c r="C17" i="8"/>
  <c r="B16" i="8"/>
  <c r="C16" i="8"/>
  <c r="C15" i="8"/>
  <c r="B15" i="8"/>
  <c r="C14" i="8"/>
  <c r="B14" i="8"/>
  <c r="C13" i="8"/>
  <c r="B13" i="8"/>
  <c r="C12" i="8"/>
  <c r="B12" i="8"/>
  <c r="C11" i="8"/>
  <c r="B11" i="8"/>
  <c r="C10" i="8"/>
  <c r="B10" i="8"/>
  <c r="I13" i="8"/>
  <c r="H13" i="8"/>
  <c r="G13" i="8"/>
  <c r="E13" i="8"/>
  <c r="D12" i="8"/>
  <c r="C9" i="8"/>
  <c r="I12" i="8"/>
  <c r="H12" i="8"/>
  <c r="G12" i="8"/>
  <c r="F12" i="8"/>
  <c r="E12" i="8"/>
  <c r="D11" i="8"/>
  <c r="C8" i="8"/>
  <c r="I11" i="8"/>
  <c r="H11" i="8"/>
  <c r="G11" i="8"/>
  <c r="F11" i="8"/>
  <c r="E11" i="8"/>
  <c r="D10" i="8"/>
  <c r="B9" i="8"/>
  <c r="I10" i="8"/>
  <c r="H10" i="8"/>
  <c r="G10" i="8"/>
  <c r="F10" i="8"/>
  <c r="E10" i="8"/>
  <c r="D9" i="8"/>
  <c r="I9" i="8"/>
  <c r="H9" i="8"/>
  <c r="G9" i="8"/>
  <c r="F9" i="8"/>
  <c r="E9" i="8"/>
  <c r="D8" i="8"/>
  <c r="B8" i="8"/>
  <c r="I8" i="8"/>
  <c r="H8" i="8"/>
  <c r="G8" i="8"/>
  <c r="F8" i="8"/>
  <c r="E8" i="8"/>
  <c r="C7" i="8"/>
  <c r="B7" i="8"/>
  <c r="I7" i="8"/>
  <c r="H7" i="8"/>
  <c r="G7" i="8"/>
  <c r="F7" i="8"/>
  <c r="E7" i="8"/>
  <c r="D7" i="8"/>
  <c r="C6" i="8"/>
  <c r="B6" i="8"/>
  <c r="I6" i="8"/>
  <c r="H6" i="8"/>
  <c r="G6" i="8"/>
  <c r="F6" i="8"/>
  <c r="E6" i="8"/>
  <c r="D6" i="8"/>
  <c r="I5" i="8"/>
  <c r="H5" i="8"/>
  <c r="G5" i="8"/>
  <c r="F5" i="8"/>
  <c r="E5" i="8"/>
  <c r="D5" i="8"/>
  <c r="C5" i="8"/>
  <c r="B5" i="8"/>
  <c r="I4" i="8"/>
  <c r="H4" i="8"/>
  <c r="G4" i="8"/>
  <c r="F4" i="8"/>
  <c r="E4" i="8"/>
  <c r="D4" i="8"/>
  <c r="C4" i="8"/>
  <c r="B4" i="8"/>
</calcChain>
</file>

<file path=xl/sharedStrings.xml><?xml version="1.0" encoding="utf-8"?>
<sst xmlns="http://schemas.openxmlformats.org/spreadsheetml/2006/main" count="789" uniqueCount="305">
  <si>
    <t>Collum statistics</t>
  </si>
  <si>
    <t>Healthy index</t>
  </si>
  <si>
    <t>Days</t>
  </si>
  <si>
    <t>PBS</t>
  </si>
  <si>
    <t>107UFC/mL</t>
  </si>
  <si>
    <t>108UFC/mL</t>
  </si>
  <si>
    <t>Day 1</t>
  </si>
  <si>
    <t>Day2</t>
  </si>
  <si>
    <t>Day3</t>
  </si>
  <si>
    <t>Day4</t>
  </si>
  <si>
    <t>Day5</t>
  </si>
  <si>
    <t>Day6</t>
  </si>
  <si>
    <t>Day7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</si>
  <si>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</si>
  <si>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</si>
  <si>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</si>
  <si>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</si>
  <si>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</si>
  <si>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</si>
  <si>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</si>
  <si>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</si>
  <si>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</si>
  <si>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 of mean</t>
  </si>
  <si>
    <t>Upper 95% CI of mean</t>
  </si>
  <si>
    <t>D'Agostino &amp; Pearson omnibus normality test</t>
  </si>
  <si>
    <t>K2</t>
  </si>
  <si>
    <t>P value</t>
  </si>
  <si>
    <t>Passed normality test (alpha=0.05)?</t>
  </si>
  <si>
    <t>No</t>
  </si>
  <si>
    <t>P value summary</t>
  </si>
  <si>
    <r>
      <t>10</t>
    </r>
    <r>
      <rPr>
        <vertAlign val="superscript"/>
        <sz val="9"/>
        <color theme="1"/>
        <rFont val="Calibri"/>
        <family val="2"/>
        <scheme val="minor"/>
      </rPr>
      <t>7</t>
    </r>
    <r>
      <rPr>
        <sz val="9"/>
        <color theme="1"/>
        <rFont val="Calibri"/>
        <family val="2"/>
        <scheme val="minor"/>
      </rPr>
      <t xml:space="preserve"> UFC/mL</t>
    </r>
  </si>
  <si>
    <t>Sum</t>
  </si>
  <si>
    <t>Table Analyzed</t>
  </si>
  <si>
    <t>Exact or approximate P value?</t>
  </si>
  <si>
    <t>Yes</t>
  </si>
  <si>
    <r>
      <t>10</t>
    </r>
    <r>
      <rPr>
        <vertAlign val="superscript"/>
        <sz val="9"/>
        <color theme="1"/>
        <rFont val="Calibri"/>
        <family val="2"/>
        <scheme val="minor"/>
      </rPr>
      <t>8</t>
    </r>
    <r>
      <rPr>
        <sz val="9"/>
        <color theme="1"/>
        <rFont val="Calibri"/>
        <family val="2"/>
        <scheme val="minor"/>
      </rPr>
      <t xml:space="preserve"> UFC/mL</t>
    </r>
  </si>
  <si>
    <t>ns</t>
  </si>
  <si>
    <t>**</t>
  </si>
  <si>
    <t>Susceptibility ISOPROTERENOL</t>
  </si>
  <si>
    <t>10pM</t>
  </si>
  <si>
    <t>50pM</t>
  </si>
  <si>
    <t>100pM</t>
  </si>
  <si>
    <t>500pM</t>
  </si>
  <si>
    <t>1nM</t>
  </si>
  <si>
    <t>10nM</t>
  </si>
  <si>
    <t>100nM</t>
  </si>
  <si>
    <t>1uM</t>
  </si>
  <si>
    <t>10uM</t>
  </si>
  <si>
    <t>100uM</t>
  </si>
  <si>
    <t>Day 2</t>
  </si>
  <si>
    <t>Day 3</t>
  </si>
  <si>
    <t>Day 4</t>
  </si>
  <si>
    <t>Day 5</t>
  </si>
  <si>
    <t>Isoproterenol concentrations- Raw data</t>
  </si>
  <si>
    <t>Isoproterenol concentrations- raw data</t>
  </si>
  <si>
    <t>Isoproterenol concentrations</t>
  </si>
  <si>
    <t>lost sample</t>
  </si>
  <si>
    <t>dia</t>
  </si>
  <si>
    <t>dia 1</t>
  </si>
  <si>
    <t>dia 2</t>
  </si>
  <si>
    <t>Dia 3</t>
  </si>
  <si>
    <t>dia 4</t>
  </si>
  <si>
    <t>dia 5</t>
  </si>
  <si>
    <t>hemocytes 90 min</t>
  </si>
  <si>
    <t>Survival</t>
  </si>
  <si>
    <t>Day</t>
  </si>
  <si>
    <r>
      <t>10</t>
    </r>
    <r>
      <rPr>
        <vertAlign val="superscript"/>
        <sz val="9"/>
        <color theme="1"/>
        <rFont val="Calibri"/>
        <family val="2"/>
        <scheme val="minor"/>
      </rPr>
      <t>8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P. gingivalis</t>
    </r>
    <r>
      <rPr>
        <sz val="9"/>
        <color theme="1"/>
        <rFont val="Calibri"/>
        <family val="2"/>
        <scheme val="minor"/>
      </rPr>
      <t xml:space="preserve"> + 100pM</t>
    </r>
  </si>
  <si>
    <t>Total hemocytes in 30 min</t>
  </si>
  <si>
    <t>Hemocytes count- raw data</t>
  </si>
  <si>
    <t>Mann-whitney</t>
  </si>
  <si>
    <t>Hemolymph+fat body hemocytes</t>
  </si>
  <si>
    <t>Column B</t>
  </si>
  <si>
    <t>vs.</t>
  </si>
  <si>
    <t>Column A</t>
  </si>
  <si>
    <t>Mann Whitney test</t>
  </si>
  <si>
    <t>Exact</t>
  </si>
  <si>
    <t>Significantly different? (P &lt; 0.05)</t>
  </si>
  <si>
    <t>One- or two-tailed P value?</t>
  </si>
  <si>
    <t>Two-tailed</t>
  </si>
  <si>
    <t>Sum of ranks in column A,B</t>
  </si>
  <si>
    <t>412.5 , 407.5</t>
  </si>
  <si>
    <t>Mann-Whitney U</t>
  </si>
  <si>
    <t>Difference between medians</t>
  </si>
  <si>
    <t>Median of column A</t>
  </si>
  <si>
    <t>Median of column B</t>
  </si>
  <si>
    <t>Difference: Actual</t>
  </si>
  <si>
    <t>Difference: Hodges-Lehmann</t>
  </si>
  <si>
    <t>100pM OCT</t>
  </si>
  <si>
    <t>100pM OCT+ Propanolol</t>
  </si>
  <si>
    <t>1nM OCT +Propanolol</t>
  </si>
  <si>
    <t>100pM ISO +Propanolol</t>
  </si>
  <si>
    <t>PBS1</t>
  </si>
  <si>
    <t>Day 6</t>
  </si>
  <si>
    <t>Day 7</t>
  </si>
  <si>
    <t>survival</t>
  </si>
  <si>
    <t xml:space="preserve">Octopamine 30 min </t>
  </si>
  <si>
    <t>Hemocytes</t>
  </si>
  <si>
    <t>days</t>
  </si>
  <si>
    <t>dia 3</t>
  </si>
  <si>
    <t>OD 405nm</t>
  </si>
  <si>
    <t>108 P.gingivalis+1uM NE</t>
  </si>
  <si>
    <t>CFU/mL</t>
  </si>
  <si>
    <t>108 CFU/mL P.gingivalis + 100pM ISO</t>
  </si>
  <si>
    <r>
      <t>108 CFU/mL P.gingivalis + 1</t>
    </r>
    <r>
      <rPr>
        <sz val="9"/>
        <color theme="1"/>
        <rFont val="Calibri"/>
        <family val="2"/>
      </rPr>
      <t>µM</t>
    </r>
    <r>
      <rPr>
        <sz val="9"/>
        <color theme="1"/>
        <rFont val="Calibri"/>
        <family val="2"/>
        <scheme val="minor"/>
      </rPr>
      <t xml:space="preserve"> NE</t>
    </r>
  </si>
  <si>
    <t>Hours</t>
  </si>
  <si>
    <r>
      <t>10</t>
    </r>
    <r>
      <rPr>
        <vertAlign val="superscript"/>
        <sz val="9"/>
        <color theme="1"/>
        <rFont val="Calibri"/>
        <family val="2"/>
        <scheme val="minor"/>
      </rPr>
      <t xml:space="preserve">9 </t>
    </r>
    <r>
      <rPr>
        <sz val="9"/>
        <color theme="1"/>
        <rFont val="Calibri"/>
        <family val="2"/>
        <scheme val="minor"/>
      </rPr>
      <t>CFU/mL</t>
    </r>
    <r>
      <rPr>
        <vertAlign val="superscript"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P. gingivalis </t>
    </r>
  </si>
  <si>
    <r>
      <t>10</t>
    </r>
    <r>
      <rPr>
        <vertAlign val="superscript"/>
        <sz val="9"/>
        <color theme="1"/>
        <rFont val="Calibri"/>
        <family val="2"/>
        <scheme val="minor"/>
      </rPr>
      <t xml:space="preserve">9 </t>
    </r>
    <r>
      <rPr>
        <sz val="9"/>
        <color theme="1"/>
        <rFont val="Calibri"/>
        <family val="2"/>
        <scheme val="minor"/>
      </rPr>
      <t>CFU/mL PgNOR 100uM</t>
    </r>
  </si>
  <si>
    <r>
      <t>10</t>
    </r>
    <r>
      <rPr>
        <vertAlign val="superscript"/>
        <sz val="9"/>
        <color theme="1"/>
        <rFont val="Calibri"/>
        <family val="2"/>
        <scheme val="minor"/>
      </rPr>
      <t>9</t>
    </r>
    <r>
      <rPr>
        <sz val="9"/>
        <color theme="1"/>
        <rFont val="Calibri"/>
        <family val="2"/>
        <scheme val="minor"/>
      </rPr>
      <t xml:space="preserve"> CFU/mL PgNOR 1uM</t>
    </r>
  </si>
  <si>
    <r>
      <t>10</t>
    </r>
    <r>
      <rPr>
        <vertAlign val="superscript"/>
        <sz val="9"/>
        <color theme="1"/>
        <rFont val="Calibri"/>
        <family val="2"/>
        <scheme val="minor"/>
      </rPr>
      <t xml:space="preserve">9 </t>
    </r>
    <r>
      <rPr>
        <sz val="9"/>
        <color theme="1"/>
        <rFont val="Calibri"/>
        <family val="2"/>
        <scheme val="minor"/>
      </rPr>
      <t>CFU/mL PgISO 100</t>
    </r>
    <r>
      <rPr>
        <sz val="9"/>
        <color theme="1"/>
        <rFont val="Calibri"/>
        <family val="2"/>
      </rPr>
      <t>µ</t>
    </r>
    <r>
      <rPr>
        <sz val="9"/>
        <color theme="1"/>
        <rFont val="Calibri"/>
        <family val="2"/>
        <scheme val="minor"/>
      </rPr>
      <t>M</t>
    </r>
  </si>
  <si>
    <t>109 CFU/mL PgISO 100pM +100pM ISO</t>
  </si>
  <si>
    <t>Healthy index PgNOR</t>
  </si>
  <si>
    <t>Healthy index PgISO</t>
  </si>
  <si>
    <t xml:space="preserve">109 CFU/mL PgISO 100pM </t>
  </si>
  <si>
    <t>24 horas</t>
  </si>
  <si>
    <t>P. gingivalis 108CFU/mL +100pM ISO</t>
  </si>
  <si>
    <t>P. gingivalis 108CFU/mL +1uM NE</t>
  </si>
  <si>
    <t>transversal</t>
  </si>
  <si>
    <t>half 1</t>
  </si>
  <si>
    <t>half 2</t>
  </si>
  <si>
    <t>average</t>
  </si>
  <si>
    <t>PG 1</t>
  </si>
  <si>
    <t>PGISO 6</t>
  </si>
  <si>
    <t>PGNE7</t>
  </si>
  <si>
    <t>PG2</t>
  </si>
  <si>
    <t>PGISO 14</t>
  </si>
  <si>
    <t>PGNE14</t>
  </si>
  <si>
    <t>PG15</t>
  </si>
  <si>
    <t>PGISO16</t>
  </si>
  <si>
    <t>PGNE1</t>
  </si>
  <si>
    <t>PG8</t>
  </si>
  <si>
    <t>PGISO15</t>
  </si>
  <si>
    <t>PGNE</t>
  </si>
  <si>
    <t>PG20</t>
  </si>
  <si>
    <t>PGISO3</t>
  </si>
  <si>
    <t>PGNE10</t>
  </si>
  <si>
    <t>PG13</t>
  </si>
  <si>
    <t>PGISO11</t>
  </si>
  <si>
    <t>PGNE18</t>
  </si>
  <si>
    <t>PG19</t>
  </si>
  <si>
    <t>PGISO13</t>
  </si>
  <si>
    <t>PGNE13</t>
  </si>
  <si>
    <t>PG18</t>
  </si>
  <si>
    <t>PGISO10</t>
  </si>
  <si>
    <t>PGNE12</t>
  </si>
  <si>
    <t>PG14</t>
  </si>
  <si>
    <t>PGISO1</t>
  </si>
  <si>
    <t>PGNE4</t>
  </si>
  <si>
    <t>PGISO 4</t>
  </si>
  <si>
    <t>PGNE19</t>
  </si>
  <si>
    <t>PGISO 2</t>
  </si>
  <si>
    <t>ef-1a</t>
  </si>
  <si>
    <t>cecropin</t>
  </si>
  <si>
    <t>CT1</t>
  </si>
  <si>
    <t>CT2</t>
  </si>
  <si>
    <t/>
  </si>
  <si>
    <t>PBS3</t>
  </si>
  <si>
    <t>PBS4</t>
  </si>
  <si>
    <t>PBS5</t>
  </si>
  <si>
    <t>PBS1_1</t>
  </si>
  <si>
    <t>PBS3_1</t>
  </si>
  <si>
    <t>PBS6</t>
  </si>
  <si>
    <t>PBS7</t>
  </si>
  <si>
    <t>Undetermined</t>
  </si>
  <si>
    <t>PBS8</t>
  </si>
  <si>
    <t>PBS9</t>
  </si>
  <si>
    <t>PBS10</t>
  </si>
  <si>
    <t>PG1</t>
  </si>
  <si>
    <t>PG3</t>
  </si>
  <si>
    <t>PG4</t>
  </si>
  <si>
    <t>PG5</t>
  </si>
  <si>
    <t>PG6</t>
  </si>
  <si>
    <t>PG7</t>
  </si>
  <si>
    <t>PG9</t>
  </si>
  <si>
    <t>PG10</t>
  </si>
  <si>
    <t>PGISO2</t>
  </si>
  <si>
    <t>PGISO4</t>
  </si>
  <si>
    <t>PGISO5</t>
  </si>
  <si>
    <t>PGISO6</t>
  </si>
  <si>
    <t>PGISO7</t>
  </si>
  <si>
    <t>PGISO8</t>
  </si>
  <si>
    <t>PGISO9</t>
  </si>
  <si>
    <t>PGNE2</t>
  </si>
  <si>
    <t>PGNE3</t>
  </si>
  <si>
    <t>PGNE6</t>
  </si>
  <si>
    <t>PGNE8</t>
  </si>
  <si>
    <t>PGNE9</t>
  </si>
  <si>
    <t>PG11</t>
  </si>
  <si>
    <t>PG12</t>
  </si>
  <si>
    <t>PG+ISO 12</t>
  </si>
  <si>
    <t>PG+ISO 13</t>
  </si>
  <si>
    <t>PG+ISO 14</t>
  </si>
  <si>
    <t>PG+NE 11</t>
  </si>
  <si>
    <t>PG+NE 12</t>
  </si>
  <si>
    <t>PG+NE 13</t>
  </si>
  <si>
    <t>PG+NE 14</t>
  </si>
  <si>
    <t>16S</t>
  </si>
  <si>
    <t>rgbp</t>
  </si>
  <si>
    <t>PgNOR 100um 3</t>
  </si>
  <si>
    <t>PgNOR 100um 4</t>
  </si>
  <si>
    <t>PgNOR 100uM 6</t>
  </si>
  <si>
    <t>PgNOR 100uM 7</t>
  </si>
  <si>
    <t>PgNOR 100uM 8</t>
  </si>
  <si>
    <t>PgNOR 100uM 9</t>
  </si>
  <si>
    <t>PgNOR 1uM 3</t>
  </si>
  <si>
    <t>PgNOR 1uM 4</t>
  </si>
  <si>
    <t>PgNOR 1uM 5</t>
  </si>
  <si>
    <t>PgNOR 1uM 6</t>
  </si>
  <si>
    <t>PgNOR 1uM 7</t>
  </si>
  <si>
    <t>PgNOR 1uM 8</t>
  </si>
  <si>
    <t>PgISO100um 3</t>
  </si>
  <si>
    <t>PgISO100um 4</t>
  </si>
  <si>
    <t>PgISO100um 5</t>
  </si>
  <si>
    <t>PgISO100um 6</t>
  </si>
  <si>
    <t>PgISO100um 7</t>
  </si>
  <si>
    <t>PgISO100um 8</t>
  </si>
  <si>
    <t>PgISO 100pM 3</t>
  </si>
  <si>
    <t>PgISO 100pM 4</t>
  </si>
  <si>
    <t>PgISO 100pM 5</t>
  </si>
  <si>
    <t>PgISO 100pM 6</t>
  </si>
  <si>
    <t>PgISO 100pM 7</t>
  </si>
  <si>
    <t>PgISO 100pM 8</t>
  </si>
  <si>
    <t>FimA</t>
  </si>
  <si>
    <t>pg7</t>
  </si>
  <si>
    <t>1= dead larvae</t>
  </si>
  <si>
    <t>0= alive larvae</t>
  </si>
  <si>
    <t>Susceptibility of G. mellonella to defferent concentrations of P. gingivalis cultivated in agar</t>
  </si>
  <si>
    <t>0= Alive larvae</t>
  </si>
  <si>
    <t>1= Dead larvae</t>
  </si>
  <si>
    <t>Susceptibility of G. mellonella to different concentrations of Isoproterenol- Healthy index and survival curve</t>
  </si>
  <si>
    <t>Number of circulating hemocytes 30 min after the injection of different concentrations of Isoproterenol or PBS (Control)</t>
  </si>
  <si>
    <t>Number of circulating hemocytes 90 min after the injection of different concentrations of Isoproterenol or PBS (Control)</t>
  </si>
  <si>
    <t>Number of circulating hemocytes 180 min after the injection of different concentrations of Isoproterenol or PBS (Control)</t>
  </si>
  <si>
    <t>Susceptibility of G. mellonella to different concentrations of Norepinephrine- Healthy index and survival curve</t>
  </si>
  <si>
    <t>Number of circulating hemocytes 90 min after the injection of different concentrations of norepinephrine or PBS (Control)</t>
  </si>
  <si>
    <t>Number of circulating hemocytes 180 min after the injection of different concentrations of norepinephrine or PBS (Control)</t>
  </si>
  <si>
    <t>Susceptibility of G. mellonella to different concentrations of Octopamine- Healthy index and survival curve</t>
  </si>
  <si>
    <t>0= alive</t>
  </si>
  <si>
    <t>1- dead</t>
  </si>
  <si>
    <t>Susceptibility of G. mellonella to the co-injection of ISO and P. gingivalis- Healthy index and survival curve</t>
  </si>
  <si>
    <t>PBS +PBS</t>
  </si>
  <si>
    <t>100pM +PBS</t>
  </si>
  <si>
    <r>
      <t>PBS + 10</t>
    </r>
    <r>
      <rPr>
        <vertAlign val="superscript"/>
        <sz val="9"/>
        <color theme="1"/>
        <rFont val="Calibri"/>
        <family val="2"/>
        <scheme val="minor"/>
      </rPr>
      <t>8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P. gingivalis</t>
    </r>
  </si>
  <si>
    <t xml:space="preserve">1= dead </t>
  </si>
  <si>
    <t>Number of circulating hemocytes 30 min after the injection of different concentrations of Octopamine or PBS (Control)</t>
  </si>
  <si>
    <t>Number of circulating hemocytes 30 min after the injection of 100pM ISO and P. gingivalis or PBS</t>
  </si>
  <si>
    <t>PBS + 108 P. gingivalis</t>
  </si>
  <si>
    <t>108 P. gingivalis+ 100pM ISO</t>
  </si>
  <si>
    <t>Optical density (405nm) of hemolymph 30 min after the injection of 100pM ISO and P. gingivalis or PBS</t>
  </si>
  <si>
    <t>Hemocyte count of sessile and circulating cells after 100pM ISO injection or PBS (Control)</t>
  </si>
  <si>
    <t>Hemocyte count of sessile and circulating cells after 100pM OCT injection or PBS (Control)</t>
  </si>
  <si>
    <t>Circulating hemocytes</t>
  </si>
  <si>
    <t>Sessile hemocytes</t>
  </si>
  <si>
    <t>100pM OCT + PBS</t>
  </si>
  <si>
    <t>1nM OCT + PBS</t>
  </si>
  <si>
    <t>100pM ISO +PBS</t>
  </si>
  <si>
    <t>Propanolol +PBS</t>
  </si>
  <si>
    <t>Effect of propornaolol administration on sessile and circulating hemocytes numbers after OCT or ISO injection</t>
  </si>
  <si>
    <t>1= dead</t>
  </si>
  <si>
    <t>1uM NE + PBS</t>
  </si>
  <si>
    <t>108 P. gingivalis + PBS</t>
  </si>
  <si>
    <t>P. gingivalis +1uM NE</t>
  </si>
  <si>
    <t>Optical density (405nm) of hemolymph 30 min after the injection of 1uM NE and P. gingivalis or PBS</t>
  </si>
  <si>
    <t>1uM NE +PBS</t>
  </si>
  <si>
    <t>108 P. gingivalis +PBS</t>
  </si>
  <si>
    <t>108 CFU/mL P.gingivalis +PBS</t>
  </si>
  <si>
    <t xml:space="preserve">Number of colonies forming units in the hemolymph of G. mellonella larvae 30 min after injection. </t>
  </si>
  <si>
    <t>Number of nodules on hystological sections</t>
  </si>
  <si>
    <t>P. gingivalis 108CFU/mL + PBS</t>
  </si>
  <si>
    <t>PBS + PBS</t>
  </si>
  <si>
    <t>Susceptibility of G. mellonella to P. gingivalis grown in the presence of NE</t>
  </si>
  <si>
    <t>Susceptibility of G. mellonella to P. gingivalis grown in the presence of ISO</t>
  </si>
  <si>
    <t>109CFU/mL PgISO 100pM +PBS</t>
  </si>
  <si>
    <t>109 CFU/mL PgISO 100µM + PBS</t>
  </si>
  <si>
    <t xml:space="preserve">109 CFU/mLP. Gingivalis +PBS </t>
  </si>
  <si>
    <t>0= Alive</t>
  </si>
  <si>
    <t>hemocytes 30 min</t>
  </si>
  <si>
    <t>Number of circulating hemocytes 30 min after the injection of different concentrations of norepinephrine or PBS (Control)</t>
  </si>
  <si>
    <t xml:space="preserve">sample lost </t>
  </si>
  <si>
    <t>sample lost</t>
  </si>
  <si>
    <t>hemocytes 180 min</t>
  </si>
  <si>
    <t>mean</t>
  </si>
  <si>
    <t>gloverin</t>
  </si>
  <si>
    <t xml:space="preserve">Porphyromonas gingivalis </t>
  </si>
  <si>
    <t>Galleria mellonella</t>
  </si>
  <si>
    <t>Isoproterenol</t>
  </si>
  <si>
    <t>ISO</t>
  </si>
  <si>
    <t>Norepinephrine</t>
  </si>
  <si>
    <t>NE</t>
  </si>
  <si>
    <t>Octopamine</t>
  </si>
  <si>
    <t>OCT</t>
  </si>
  <si>
    <t>PgISO</t>
  </si>
  <si>
    <r>
      <t>Susceptibility of G. mellonella to the co-injection of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NE </t>
    </r>
    <r>
      <rPr>
        <b/>
        <sz val="11"/>
        <color theme="1"/>
        <rFont val="Calibri"/>
        <family val="2"/>
        <scheme val="minor"/>
      </rPr>
      <t>and P. gingivalis- Healthy index, survival curve and hemocyte count</t>
    </r>
  </si>
  <si>
    <t>CT</t>
  </si>
  <si>
    <t>cycle threshold</t>
  </si>
  <si>
    <t>ADRENERGIC SIGNALING AND PERIODONTITIS: INSIGHTS ON INNATE IMMUNITY AND Porphyromonas gingivalis VIRULENCE IN AN INVERTEBRATE MODEL</t>
  </si>
  <si>
    <t>Paper:</t>
  </si>
  <si>
    <t>Authors:</t>
  </si>
  <si>
    <t>Renata Mendonça Moraes, Maíra Terra Garcia, Fabio Stossi, Patrícia Pimentel de Barros, Juliana Campos Junqueira, Ana Lia Anbinder</t>
  </si>
  <si>
    <t>Cells that are freely circulating in the insect hemolymph</t>
  </si>
  <si>
    <t>Cells that are attached to internal organs of the larvae</t>
  </si>
  <si>
    <r>
      <t xml:space="preserve">Group in which </t>
    </r>
    <r>
      <rPr>
        <i/>
        <sz val="11"/>
        <color theme="1"/>
        <rFont val="Calibri"/>
        <family val="2"/>
        <scheme val="minor"/>
      </rPr>
      <t>P. gingivalis</t>
    </r>
    <r>
      <rPr>
        <sz val="11"/>
        <color theme="1"/>
        <rFont val="Calibri"/>
        <family val="2"/>
        <scheme val="minor"/>
      </rPr>
      <t xml:space="preserve"> was cultivated with Isoproterenol in the broth</t>
    </r>
  </si>
  <si>
    <r>
      <t xml:space="preserve">Group in which </t>
    </r>
    <r>
      <rPr>
        <i/>
        <sz val="11"/>
        <color theme="1"/>
        <rFont val="Calibri"/>
        <family val="2"/>
        <scheme val="minor"/>
      </rPr>
      <t>P. gingivali</t>
    </r>
    <r>
      <rPr>
        <sz val="11"/>
        <color theme="1"/>
        <rFont val="Calibri"/>
        <family val="2"/>
        <scheme val="minor"/>
      </rPr>
      <t>s was cultivated with norepinephrine in the broth</t>
    </r>
  </si>
  <si>
    <r>
      <t xml:space="preserve">Pg or </t>
    </r>
    <r>
      <rPr>
        <i/>
        <sz val="11"/>
        <color theme="1"/>
        <rFont val="Calibri"/>
        <family val="2"/>
        <scheme val="minor"/>
      </rPr>
      <t>P. gingivalis</t>
    </r>
  </si>
  <si>
    <t>G. mellonella</t>
  </si>
  <si>
    <t>PgNOR or PgNE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</si>
</sst>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000"/>
  </numFmts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  <font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</font>
    <font>
      <sz val="9"/>
      <name val="Calibri Light"/>
      <family val="2"/>
      <scheme val="major"/>
    </font>
    <font>
      <sz val="9"/>
      <name val="Arial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E7EE1"/>
        <bgColor indexed="64"/>
      </patternFill>
    </fill>
    <fill>
      <patternFill patternType="solid">
        <fgColor rgb="FFFEC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0" fillId="0" borderId="4" xfId="0" applyBorder="1"/>
    <xf numFmtId="0" fontId="0" fillId="0" borderId="5" xfId="0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/>
    <xf numFmtId="0" fontId="4" fillId="5" borderId="0" xfId="0" applyFont="1" applyFill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  <xf numFmtId="0" fontId="5" fillId="5" borderId="0" xfId="0" applyFont="1" applyFill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Alignment="1">
      <alignment horizontal="left"/>
    </xf>
    <xf numFmtId="0" fontId="3" fillId="0" borderId="7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/>
    <xf numFmtId="0" fontId="3" fillId="0" borderId="8" xfId="0" applyFont="1" applyBorder="1"/>
    <xf numFmtId="0" fontId="4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0" fillId="0" borderId="6" xfId="0" applyBorder="1"/>
    <xf numFmtId="0" fontId="3" fillId="0" borderId="0" xfId="0" applyFont="1" applyFill="1" applyBorder="1"/>
    <xf numFmtId="0" fontId="3" fillId="0" borderId="0" xfId="0" applyFont="1" applyFill="1"/>
    <xf numFmtId="0" fontId="3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3" fillId="8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 applyBorder="1" applyAlignment="1"/>
    <xf numFmtId="0" fontId="4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 applyAlignment="1"/>
    <xf numFmtId="0" fontId="5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3" fillId="11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14" fillId="0" borderId="0" xfId="0" applyFont="1" applyFill="1" applyAlignment="1"/>
    <xf numFmtId="0" fontId="20" fillId="0" borderId="0" xfId="0" applyFont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16" fontId="0" fillId="0" borderId="0" xfId="0" applyNumberForma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Alignment="1"/>
    <xf numFmtId="0" fontId="5" fillId="0" borderId="0" xfId="0" applyFont="1" applyFill="1" applyAlignment="1"/>
    <xf numFmtId="0" fontId="21" fillId="0" borderId="0" xfId="0" applyFont="1"/>
    <xf numFmtId="0" fontId="5" fillId="0" borderId="0" xfId="0" applyFont="1" applyBorder="1"/>
    <xf numFmtId="0" fontId="15" fillId="0" borderId="0" xfId="0" applyFont="1" applyBorder="1"/>
    <xf numFmtId="0" fontId="0" fillId="0" borderId="5" xfId="0" applyFill="1" applyBorder="1"/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2" fillId="0" borderId="0" xfId="0" applyFont="1" applyFill="1" applyAlignment="1"/>
    <xf numFmtId="0" fontId="15" fillId="0" borderId="0" xfId="0" applyFont="1" applyFill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2" fillId="0" borderId="0" xfId="0" applyFont="1" applyFill="1"/>
    <xf numFmtId="0" fontId="0" fillId="0" borderId="0" xfId="0" applyFill="1" applyBorder="1" applyAlignment="1">
      <alignment vertical="center"/>
    </xf>
    <xf numFmtId="0" fontId="10" fillId="0" borderId="0" xfId="0" applyFont="1" applyFill="1" applyBorder="1"/>
    <xf numFmtId="0" fontId="2" fillId="0" borderId="0" xfId="0" applyFont="1" applyFill="1" applyBorder="1" applyAlignment="1"/>
    <xf numFmtId="164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/>
    <xf numFmtId="3" fontId="4" fillId="0" borderId="4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3" fontId="3" fillId="0" borderId="4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0" fillId="0" borderId="0" xfId="0" applyNumberForma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164" fontId="3" fillId="0" borderId="0" xfId="0" applyNumberFormat="1" applyFont="1" applyFill="1" applyBorder="1"/>
    <xf numFmtId="164" fontId="9" fillId="0" borderId="0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8" fillId="0" borderId="0" xfId="0" applyFont="1" applyFill="1" applyBorder="1"/>
    <xf numFmtId="3" fontId="3" fillId="0" borderId="5" xfId="0" applyNumberFormat="1" applyFont="1" applyFill="1" applyBorder="1"/>
    <xf numFmtId="3" fontId="3" fillId="0" borderId="4" xfId="0" applyNumberFormat="1" applyFont="1" applyFill="1" applyBorder="1"/>
    <xf numFmtId="0" fontId="8" fillId="11" borderId="0" xfId="0" applyFont="1" applyFill="1" applyBorder="1" applyAlignment="1">
      <alignment horizontal="center"/>
    </xf>
    <xf numFmtId="3" fontId="3" fillId="0" borderId="7" xfId="0" applyNumberFormat="1" applyFont="1" applyFill="1" applyBorder="1"/>
    <xf numFmtId="0" fontId="0" fillId="0" borderId="0" xfId="0" applyBorder="1" applyAlignment="1"/>
    <xf numFmtId="0" fontId="3" fillId="0" borderId="0" xfId="0" applyFont="1" applyBorder="1" applyAlignment="1"/>
    <xf numFmtId="0" fontId="3" fillId="11" borderId="0" xfId="0" applyFont="1" applyFill="1" applyAlignment="1">
      <alignment horizontal="center"/>
    </xf>
    <xf numFmtId="0" fontId="1" fillId="0" borderId="0" xfId="0" applyFont="1" applyFill="1" applyBorder="1"/>
    <xf numFmtId="0" fontId="0" fillId="11" borderId="0" xfId="0" applyFill="1" applyBorder="1"/>
    <xf numFmtId="0" fontId="3" fillId="11" borderId="7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4" xfId="0" applyFont="1" applyFill="1" applyBorder="1"/>
    <xf numFmtId="0" fontId="1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" fontId="3" fillId="0" borderId="0" xfId="0" applyNumberFormat="1" applyFont="1" applyFill="1" applyBorder="1"/>
    <xf numFmtId="1" fontId="3" fillId="0" borderId="4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" fontId="3" fillId="0" borderId="4" xfId="0" applyNumberFormat="1" applyFont="1" applyFill="1" applyBorder="1"/>
    <xf numFmtId="1" fontId="3" fillId="0" borderId="6" xfId="0" applyNumberFormat="1" applyFont="1" applyFill="1" applyBorder="1"/>
    <xf numFmtId="0" fontId="21" fillId="0" borderId="0" xfId="0" applyFont="1" applyFill="1" applyBorder="1"/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9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/>
    <xf numFmtId="1" fontId="8" fillId="0" borderId="0" xfId="0" applyNumberFormat="1" applyFont="1" applyFill="1" applyBorder="1" applyAlignment="1">
      <alignment horizontal="center"/>
    </xf>
    <xf numFmtId="0" fontId="23" fillId="0" borderId="0" xfId="0" applyFont="1"/>
    <xf numFmtId="0" fontId="3" fillId="3" borderId="1" xfId="0" applyFont="1" applyFill="1" applyBorder="1" applyAlignment="1">
      <alignment horizontal="center" vertical="center" textRotation="255"/>
    </xf>
    <xf numFmtId="0" fontId="3" fillId="3" borderId="4" xfId="0" applyFont="1" applyFill="1" applyBorder="1" applyAlignment="1">
      <alignment horizontal="center" vertical="center" textRotation="255"/>
    </xf>
    <xf numFmtId="0" fontId="3" fillId="3" borderId="6" xfId="0" applyFont="1" applyFill="1" applyBorder="1" applyAlignment="1">
      <alignment horizontal="center" vertical="center" textRotation="255"/>
    </xf>
    <xf numFmtId="0" fontId="3" fillId="4" borderId="1" xfId="0" applyFont="1" applyFill="1" applyBorder="1" applyAlignment="1">
      <alignment horizontal="center" vertical="center" textRotation="255"/>
    </xf>
    <xf numFmtId="0" fontId="3" fillId="4" borderId="4" xfId="0" applyFont="1" applyFill="1" applyBorder="1" applyAlignment="1">
      <alignment horizontal="center" vertical="center" textRotation="255"/>
    </xf>
    <xf numFmtId="0" fontId="3" fillId="4" borderId="6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7" borderId="2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8" borderId="0" xfId="0" applyFill="1" applyBorder="1" applyAlignment="1">
      <alignment horizontal="center"/>
    </xf>
    <xf numFmtId="0" fontId="0" fillId="18" borderId="5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15" borderId="9" xfId="0" applyFont="1" applyFill="1" applyBorder="1" applyAlignment="1">
      <alignment horizontal="center"/>
    </xf>
    <xf numFmtId="0" fontId="3" fillId="15" borderId="10" xfId="0" applyFont="1" applyFill="1" applyBorder="1" applyAlignment="1">
      <alignment horizontal="center"/>
    </xf>
    <xf numFmtId="0" fontId="3" fillId="15" borderId="11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5" borderId="7" xfId="0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274320</xdr:colOff>
      <xdr:row>2</xdr:row>
      <xdr:rowOff>15240</xdr:rowOff>
    </xdr:from>
    <xdr:to>
      <xdr:col>36</xdr:col>
      <xdr:colOff>399288</xdr:colOff>
      <xdr:row>15</xdr:row>
      <xdr:rowOff>47244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2320" y="381000"/>
          <a:ext cx="3782568" cy="24094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553320</xdr:colOff>
      <xdr:row>27</xdr:row>
      <xdr:rowOff>80400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00000000-0008-0000-1800-000002000000}"/>
                </a:ext>
              </a:extLst>
            </xdr14:cNvPr>
            <xdr14:cNvContentPartPr/>
          </xdr14:nvContentPartPr>
          <xdr14:nvPr macro=""/>
          <xdr14:xfrm>
            <a:off x="15061800" y="276264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89C6E6DB-D117-4432-A9DA-1262142A22F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052800" y="27536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02T14:26:27.8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16495,'0'0'0</inkml:trace>
</inkml: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4CC2D-32C8-49FA-94DE-4DDC17C954EF}">
  <dimension ref="B2:O16"/>
  <sheetViews>
    <sheetView tabSelected="1" workbookViewId="0">
      <selection activeCell="D21" sqref="D21"/>
    </sheetView>
  </sheetViews>
  <sheetFormatPr defaultRowHeight="15" x14ac:dyDescent="0.25"/>
  <cols>
    <col min="2" max="2" width="22.5703125" customWidth="1"/>
    <col min="3" max="3" width="13.5703125" customWidth="1"/>
  </cols>
  <sheetData>
    <row r="2" spans="2:15" x14ac:dyDescent="0.25">
      <c r="B2" s="121" t="s">
        <v>295</v>
      </c>
      <c r="C2" s="121" t="s">
        <v>294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15" x14ac:dyDescent="0.25">
      <c r="B3" t="s">
        <v>296</v>
      </c>
      <c r="C3" t="s">
        <v>297</v>
      </c>
    </row>
    <row r="7" spans="2:15" x14ac:dyDescent="0.25">
      <c r="B7" s="247" t="s">
        <v>282</v>
      </c>
      <c r="C7" t="s">
        <v>302</v>
      </c>
    </row>
    <row r="8" spans="2:15" x14ac:dyDescent="0.25">
      <c r="B8" s="247" t="s">
        <v>283</v>
      </c>
      <c r="C8" s="247" t="s">
        <v>303</v>
      </c>
    </row>
    <row r="9" spans="2:15" x14ac:dyDescent="0.25">
      <c r="B9" t="s">
        <v>284</v>
      </c>
      <c r="C9" t="s">
        <v>285</v>
      </c>
    </row>
    <row r="10" spans="2:15" x14ac:dyDescent="0.25">
      <c r="B10" t="s">
        <v>286</v>
      </c>
      <c r="C10" t="s">
        <v>287</v>
      </c>
    </row>
    <row r="11" spans="2:15" x14ac:dyDescent="0.25">
      <c r="B11" t="s">
        <v>288</v>
      </c>
      <c r="C11" t="s">
        <v>289</v>
      </c>
    </row>
    <row r="12" spans="2:15" x14ac:dyDescent="0.25">
      <c r="B12" t="s">
        <v>290</v>
      </c>
      <c r="C12" t="s">
        <v>300</v>
      </c>
    </row>
    <row r="13" spans="2:15" x14ac:dyDescent="0.25">
      <c r="B13" t="s">
        <v>304</v>
      </c>
      <c r="C13" t="s">
        <v>301</v>
      </c>
    </row>
    <row r="14" spans="2:15" x14ac:dyDescent="0.25">
      <c r="B14" t="s">
        <v>292</v>
      </c>
      <c r="C14" t="s">
        <v>293</v>
      </c>
    </row>
    <row r="15" spans="2:15" x14ac:dyDescent="0.25">
      <c r="B15" t="s">
        <v>250</v>
      </c>
      <c r="C15" t="s">
        <v>298</v>
      </c>
    </row>
    <row r="16" spans="2:15" x14ac:dyDescent="0.25">
      <c r="B16" t="s">
        <v>251</v>
      </c>
      <c r="C16" t="s">
        <v>299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A8BD-D625-4180-85CA-D387AC7535CD}">
  <dimension ref="B1:AT60"/>
  <sheetViews>
    <sheetView zoomScale="81" workbookViewId="0">
      <selection activeCell="M14" sqref="M14"/>
    </sheetView>
  </sheetViews>
  <sheetFormatPr defaultRowHeight="15" x14ac:dyDescent="0.25"/>
  <sheetData>
    <row r="1" spans="2:46" x14ac:dyDescent="0.25">
      <c r="B1" s="121" t="s">
        <v>234</v>
      </c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</row>
    <row r="2" spans="2:46" x14ac:dyDescent="0.25">
      <c r="B2" s="254" t="s">
        <v>279</v>
      </c>
      <c r="C2" s="255"/>
      <c r="D2" s="255"/>
      <c r="E2" s="255"/>
      <c r="F2" s="255"/>
      <c r="G2" s="255"/>
      <c r="H2" s="255"/>
      <c r="I2" s="256"/>
      <c r="K2" s="96"/>
      <c r="L2" s="96"/>
      <c r="M2" s="96"/>
      <c r="N2" s="174"/>
      <c r="O2" s="174"/>
      <c r="P2" s="174"/>
      <c r="Q2" s="174"/>
      <c r="R2" s="174"/>
      <c r="S2" s="174"/>
      <c r="T2" s="174"/>
      <c r="U2" s="174"/>
      <c r="V2" s="96"/>
      <c r="W2" s="144"/>
      <c r="X2" s="165"/>
      <c r="Y2" s="115"/>
      <c r="Z2" s="115"/>
      <c r="AA2" s="115"/>
      <c r="AB2" s="115"/>
      <c r="AC2" s="115"/>
      <c r="AD2" s="115"/>
      <c r="AE2" s="115"/>
      <c r="AF2" s="115"/>
      <c r="AG2" s="96"/>
      <c r="AI2" s="115"/>
      <c r="AJ2" s="115"/>
      <c r="AK2" s="115"/>
      <c r="AL2" s="115"/>
      <c r="AM2" s="115"/>
      <c r="AN2" s="115"/>
      <c r="AO2" s="115"/>
      <c r="AP2" s="115"/>
      <c r="AQ2" s="115"/>
      <c r="AR2" s="96"/>
      <c r="AS2" s="96"/>
      <c r="AT2" s="96"/>
    </row>
    <row r="3" spans="2:46" x14ac:dyDescent="0.25">
      <c r="B3" s="3" t="s">
        <v>3</v>
      </c>
      <c r="C3" s="91" t="s">
        <v>41</v>
      </c>
      <c r="D3" s="91" t="s">
        <v>43</v>
      </c>
      <c r="E3" s="91" t="s">
        <v>44</v>
      </c>
      <c r="F3" s="91" t="s">
        <v>45</v>
      </c>
      <c r="G3" s="91" t="s">
        <v>46</v>
      </c>
      <c r="H3" s="91" t="s">
        <v>47</v>
      </c>
      <c r="I3" s="6" t="s">
        <v>48</v>
      </c>
      <c r="K3" s="96"/>
      <c r="L3" s="96"/>
      <c r="M3" s="96"/>
      <c r="N3" s="165"/>
      <c r="O3" s="165"/>
      <c r="P3" s="165"/>
      <c r="Q3" s="165"/>
      <c r="R3" s="165"/>
      <c r="S3" s="165"/>
      <c r="T3" s="165"/>
      <c r="U3" s="165"/>
      <c r="V3" s="165"/>
      <c r="W3" s="98"/>
      <c r="X3" s="143"/>
      <c r="Y3" s="165"/>
      <c r="Z3" s="165"/>
      <c r="AA3" s="165"/>
      <c r="AB3" s="165"/>
      <c r="AC3" s="165"/>
      <c r="AD3" s="165"/>
      <c r="AE3" s="165"/>
      <c r="AF3" s="165"/>
      <c r="AG3" s="96"/>
      <c r="AI3" s="83"/>
      <c r="AJ3" s="95"/>
      <c r="AK3" s="95"/>
      <c r="AL3" s="95"/>
      <c r="AM3" s="95"/>
      <c r="AN3" s="95"/>
      <c r="AO3" s="95"/>
      <c r="AP3" s="95"/>
      <c r="AQ3" s="95"/>
      <c r="AR3" s="96"/>
      <c r="AS3" s="96"/>
      <c r="AT3" s="96"/>
    </row>
    <row r="4" spans="2:46" x14ac:dyDescent="0.25">
      <c r="B4" s="199">
        <f>115/4*1000000</f>
        <v>28750000</v>
      </c>
      <c r="C4" s="242">
        <f>35/4*1000000</f>
        <v>8750000</v>
      </c>
      <c r="D4" s="242">
        <f>115/4*1000000</f>
        <v>28750000</v>
      </c>
      <c r="E4" s="242">
        <f>41/4*1000000</f>
        <v>10250000</v>
      </c>
      <c r="F4" s="242">
        <f>48/4*1000000</f>
        <v>12000000</v>
      </c>
      <c r="G4" s="242">
        <f>64/4*1000000</f>
        <v>16000000</v>
      </c>
      <c r="H4" s="242">
        <f>134/4*1000000</f>
        <v>33500000</v>
      </c>
      <c r="I4" s="147">
        <f>50/4*1000000</f>
        <v>12500000</v>
      </c>
      <c r="K4" s="165"/>
      <c r="L4" s="165"/>
      <c r="M4" s="96"/>
      <c r="N4" s="165"/>
      <c r="O4" s="165"/>
      <c r="P4" s="165"/>
      <c r="Q4" s="165"/>
      <c r="R4" s="165"/>
      <c r="S4" s="165"/>
      <c r="T4" s="165"/>
      <c r="U4" s="165"/>
      <c r="V4" s="96"/>
      <c r="W4" s="98"/>
      <c r="X4" s="143"/>
      <c r="Y4" s="113"/>
      <c r="Z4" s="113"/>
      <c r="AA4" s="113"/>
      <c r="AB4" s="113"/>
      <c r="AC4" s="113"/>
      <c r="AD4" s="113"/>
      <c r="AE4" s="113"/>
      <c r="AF4" s="165"/>
      <c r="AG4" s="96"/>
      <c r="AI4" s="83"/>
      <c r="AJ4" s="95"/>
      <c r="AK4" s="95"/>
      <c r="AL4" s="95"/>
      <c r="AM4" s="95"/>
      <c r="AN4" s="95"/>
      <c r="AO4" s="95"/>
      <c r="AP4" s="95"/>
      <c r="AQ4" s="95"/>
      <c r="AR4" s="96"/>
      <c r="AS4" s="96"/>
      <c r="AT4" s="96"/>
    </row>
    <row r="5" spans="2:46" x14ac:dyDescent="0.25">
      <c r="B5" s="199">
        <f>74/4*1000000</f>
        <v>18500000</v>
      </c>
      <c r="C5" s="242">
        <f>60/4*1000000</f>
        <v>15000000</v>
      </c>
      <c r="D5" s="242">
        <f>29/4*1000000</f>
        <v>7250000</v>
      </c>
      <c r="E5" s="242">
        <f>42/4*1000000</f>
        <v>10500000</v>
      </c>
      <c r="F5" s="242">
        <f>85/4*1000000</f>
        <v>21250000</v>
      </c>
      <c r="G5" s="242">
        <f>57/4*1000000</f>
        <v>14250000</v>
      </c>
      <c r="H5" s="242">
        <f>56/4*1000000</f>
        <v>14000000</v>
      </c>
      <c r="I5" s="147">
        <f>85/4*1000000</f>
        <v>21250000</v>
      </c>
      <c r="K5" s="165"/>
      <c r="L5" s="165"/>
      <c r="M5" s="96"/>
      <c r="N5" s="165"/>
      <c r="O5" s="165"/>
      <c r="P5" s="165"/>
      <c r="Q5" s="165"/>
      <c r="R5" s="165"/>
      <c r="S5" s="165"/>
      <c r="T5" s="165"/>
      <c r="U5" s="165"/>
      <c r="V5" s="96"/>
      <c r="W5" s="98"/>
      <c r="X5" s="143"/>
      <c r="Y5" s="113"/>
      <c r="Z5" s="113"/>
      <c r="AA5" s="113"/>
      <c r="AB5" s="113"/>
      <c r="AC5" s="113"/>
      <c r="AD5" s="113"/>
      <c r="AE5" s="113"/>
      <c r="AF5" s="165"/>
      <c r="AG5" s="96"/>
      <c r="AI5" s="83"/>
      <c r="AJ5" s="95"/>
      <c r="AK5" s="95"/>
      <c r="AL5" s="95"/>
      <c r="AM5" s="95"/>
      <c r="AN5" s="95"/>
      <c r="AO5" s="95"/>
      <c r="AP5" s="95"/>
      <c r="AQ5" s="95"/>
      <c r="AR5" s="96"/>
      <c r="AS5" s="96"/>
      <c r="AT5" s="96"/>
    </row>
    <row r="6" spans="2:46" x14ac:dyDescent="0.25">
      <c r="B6" s="199">
        <f>35/4*1000000</f>
        <v>8750000</v>
      </c>
      <c r="C6" s="242">
        <f>185/4*1000000</f>
        <v>46250000</v>
      </c>
      <c r="D6" s="242">
        <f>34/4*1000000</f>
        <v>8500000</v>
      </c>
      <c r="E6" s="242">
        <f>86/4*1000000</f>
        <v>21500000</v>
      </c>
      <c r="F6" s="242">
        <f>68/4*1000000</f>
        <v>17000000</v>
      </c>
      <c r="G6" s="242">
        <f>75/4*1000000</f>
        <v>18750000</v>
      </c>
      <c r="H6" s="242">
        <f>73/4*1000000</f>
        <v>18250000</v>
      </c>
      <c r="I6" s="147">
        <f>64/4*1000000</f>
        <v>16000000</v>
      </c>
      <c r="K6" s="96"/>
      <c r="L6" s="96"/>
      <c r="M6" s="96"/>
      <c r="N6" s="165"/>
      <c r="O6" s="165"/>
      <c r="P6" s="165"/>
      <c r="Q6" s="165"/>
      <c r="R6" s="165"/>
      <c r="S6" s="165"/>
      <c r="T6" s="165"/>
      <c r="U6" s="165"/>
      <c r="V6" s="96"/>
      <c r="W6" s="98"/>
      <c r="X6" s="143"/>
      <c r="Y6" s="113"/>
      <c r="Z6" s="113"/>
      <c r="AA6" s="113"/>
      <c r="AB6" s="113"/>
      <c r="AC6" s="113"/>
      <c r="AD6" s="113"/>
      <c r="AE6" s="113"/>
      <c r="AF6" s="165"/>
      <c r="AG6" s="96"/>
      <c r="AI6" s="83"/>
      <c r="AJ6" s="95"/>
      <c r="AK6" s="95"/>
      <c r="AL6" s="95"/>
      <c r="AM6" s="95"/>
      <c r="AN6" s="95"/>
      <c r="AO6" s="95"/>
      <c r="AP6" s="95"/>
      <c r="AQ6" s="95"/>
      <c r="AR6" s="96"/>
      <c r="AS6" s="96"/>
      <c r="AT6" s="96"/>
    </row>
    <row r="7" spans="2:46" x14ac:dyDescent="0.25">
      <c r="B7" s="199">
        <f>82/4*1000000</f>
        <v>20500000</v>
      </c>
      <c r="C7" s="242">
        <f>158/4*1000000</f>
        <v>39500000</v>
      </c>
      <c r="D7" s="242">
        <f>45/4*1000000</f>
        <v>11250000</v>
      </c>
      <c r="E7" s="242">
        <f>109/4*1000000</f>
        <v>27250000</v>
      </c>
      <c r="F7" s="242">
        <f>65/4*1000000</f>
        <v>16250000</v>
      </c>
      <c r="G7" s="242">
        <f>64/4*1000000</f>
        <v>16000000</v>
      </c>
      <c r="H7" s="242">
        <f>92/4*1000000</f>
        <v>23000000</v>
      </c>
      <c r="I7" s="147">
        <f>37/4*1000000</f>
        <v>9250000</v>
      </c>
      <c r="K7" s="96"/>
      <c r="L7" s="96"/>
      <c r="M7" s="96"/>
      <c r="N7" s="165"/>
      <c r="O7" s="165"/>
      <c r="P7" s="165"/>
      <c r="Q7" s="165"/>
      <c r="R7" s="165"/>
      <c r="S7" s="165"/>
      <c r="T7" s="165"/>
      <c r="U7" s="165"/>
      <c r="V7" s="96"/>
      <c r="W7" s="98"/>
      <c r="X7" s="143"/>
      <c r="Y7" s="113"/>
      <c r="Z7" s="113"/>
      <c r="AA7" s="113"/>
      <c r="AB7" s="113"/>
      <c r="AC7" s="113"/>
      <c r="AD7" s="113"/>
      <c r="AE7" s="113"/>
      <c r="AF7" s="165"/>
      <c r="AG7" s="96"/>
      <c r="AI7" s="83"/>
      <c r="AJ7" s="95"/>
      <c r="AK7" s="95"/>
      <c r="AL7" s="95"/>
      <c r="AM7" s="95"/>
      <c r="AN7" s="95"/>
      <c r="AO7" s="95"/>
      <c r="AP7" s="95"/>
      <c r="AQ7" s="95"/>
      <c r="AR7" s="96"/>
      <c r="AS7" s="96"/>
      <c r="AT7" s="96"/>
    </row>
    <row r="8" spans="2:46" x14ac:dyDescent="0.25">
      <c r="B8" s="199">
        <f>125/4*1000000</f>
        <v>31250000</v>
      </c>
      <c r="C8" s="242">
        <f>54/4*1000000</f>
        <v>13500000</v>
      </c>
      <c r="D8" s="242">
        <f>77/4*1000000</f>
        <v>19250000</v>
      </c>
      <c r="E8" s="242">
        <f>65/4*1000000</f>
        <v>16250000</v>
      </c>
      <c r="F8" s="242">
        <f>17/4*1000000</f>
        <v>4250000</v>
      </c>
      <c r="G8" s="242">
        <f>183/4*1000000</f>
        <v>45750000</v>
      </c>
      <c r="H8" s="242">
        <f>120/4*1000000</f>
        <v>30000000</v>
      </c>
      <c r="I8" s="147">
        <f>56/4*1000000</f>
        <v>14000000</v>
      </c>
      <c r="K8" s="96"/>
      <c r="L8" s="96"/>
      <c r="M8" s="96"/>
      <c r="N8" s="165"/>
      <c r="O8" s="165"/>
      <c r="P8" s="165"/>
      <c r="Q8" s="165"/>
      <c r="R8" s="165"/>
      <c r="S8" s="165"/>
      <c r="T8" s="165"/>
      <c r="U8" s="165"/>
      <c r="V8" s="218"/>
      <c r="W8" s="98"/>
      <c r="X8" s="143"/>
      <c r="Y8" s="113"/>
      <c r="Z8" s="113"/>
      <c r="AA8" s="113"/>
      <c r="AB8" s="113"/>
      <c r="AC8" s="113"/>
      <c r="AD8" s="113"/>
      <c r="AE8" s="113"/>
      <c r="AF8" s="165"/>
      <c r="AG8" s="96"/>
      <c r="AI8" s="83"/>
      <c r="AJ8" s="95"/>
      <c r="AK8" s="95"/>
      <c r="AL8" s="95"/>
      <c r="AM8" s="95"/>
      <c r="AN8" s="95"/>
      <c r="AO8" s="95"/>
      <c r="AP8" s="95"/>
      <c r="AQ8" s="95"/>
      <c r="AR8" s="96"/>
      <c r="AS8" s="96"/>
      <c r="AT8" s="96"/>
    </row>
    <row r="9" spans="2:46" x14ac:dyDescent="0.25">
      <c r="B9" s="199">
        <f>85/4*1000000</f>
        <v>21250000</v>
      </c>
      <c r="C9" s="242">
        <f>23/4*1000000</f>
        <v>5750000</v>
      </c>
      <c r="D9" s="242">
        <f>93/4*1000000</f>
        <v>23250000</v>
      </c>
      <c r="E9" s="242">
        <f>71/4*1000000</f>
        <v>17750000</v>
      </c>
      <c r="F9" s="242">
        <f>23/4*1000000</f>
        <v>5750000</v>
      </c>
      <c r="G9" s="242">
        <f>97/4*1000000</f>
        <v>24250000</v>
      </c>
      <c r="H9" s="242">
        <f>77/4*1000000</f>
        <v>19250000</v>
      </c>
      <c r="I9" s="147">
        <f>60/4*1000000</f>
        <v>15000000</v>
      </c>
      <c r="K9" s="96"/>
      <c r="L9" s="96"/>
      <c r="M9" s="96"/>
      <c r="N9" s="165"/>
      <c r="O9" s="165"/>
      <c r="P9" s="165"/>
      <c r="Q9" s="165"/>
      <c r="R9" s="165"/>
      <c r="S9" s="165"/>
      <c r="T9" s="165"/>
      <c r="U9" s="165"/>
      <c r="V9" s="96"/>
      <c r="W9" s="98"/>
      <c r="X9" s="143"/>
      <c r="Y9" s="113"/>
      <c r="Z9" s="113"/>
      <c r="AA9" s="113"/>
      <c r="AB9" s="113"/>
      <c r="AC9" s="113"/>
      <c r="AD9" s="113"/>
      <c r="AE9" s="113"/>
      <c r="AF9" s="165"/>
      <c r="AG9" s="96"/>
      <c r="AI9" s="83"/>
      <c r="AJ9" s="95"/>
      <c r="AK9" s="95"/>
      <c r="AL9" s="95"/>
      <c r="AM9" s="95"/>
      <c r="AN9" s="95"/>
      <c r="AO9" s="95"/>
      <c r="AP9" s="95"/>
      <c r="AQ9" s="95"/>
      <c r="AR9" s="96"/>
      <c r="AS9" s="96"/>
      <c r="AT9" s="96"/>
    </row>
    <row r="10" spans="2:46" x14ac:dyDescent="0.25">
      <c r="B10" s="199">
        <f>57/4*1000000</f>
        <v>14250000</v>
      </c>
      <c r="C10" s="242">
        <f>56/4*1000000</f>
        <v>14000000</v>
      </c>
      <c r="D10" s="242">
        <f>150/4*1000000</f>
        <v>37500000</v>
      </c>
      <c r="E10" s="242">
        <f>24/4*1000000</f>
        <v>6000000</v>
      </c>
      <c r="F10" s="242">
        <f>26/4*1000000</f>
        <v>6500000</v>
      </c>
      <c r="G10" s="242">
        <f>38/4*1000000</f>
        <v>9500000</v>
      </c>
      <c r="H10" s="242">
        <f>102/4*1000000</f>
        <v>25500000</v>
      </c>
      <c r="I10" s="147">
        <f>141/4*1000000</f>
        <v>35250000</v>
      </c>
      <c r="K10" s="96"/>
      <c r="L10" s="96"/>
      <c r="M10" s="96"/>
      <c r="N10" s="165"/>
      <c r="O10" s="165"/>
      <c r="P10" s="165"/>
      <c r="Q10" s="165"/>
      <c r="R10" s="165"/>
      <c r="S10" s="165"/>
      <c r="T10" s="165"/>
      <c r="U10" s="165"/>
      <c r="V10" s="96"/>
      <c r="W10" s="98"/>
      <c r="X10" s="143"/>
      <c r="Y10" s="113"/>
      <c r="Z10" s="113"/>
      <c r="AA10" s="113"/>
      <c r="AB10" s="113"/>
      <c r="AC10" s="113"/>
      <c r="AD10" s="113"/>
      <c r="AE10" s="113"/>
      <c r="AF10" s="165"/>
      <c r="AG10" s="96"/>
      <c r="AI10" s="83"/>
      <c r="AJ10" s="95"/>
      <c r="AK10" s="95"/>
      <c r="AL10" s="95"/>
      <c r="AM10" s="95"/>
      <c r="AN10" s="95"/>
      <c r="AO10" s="95"/>
      <c r="AP10" s="95"/>
      <c r="AQ10" s="95"/>
      <c r="AR10" s="96"/>
      <c r="AS10" s="96"/>
      <c r="AT10" s="96"/>
    </row>
    <row r="11" spans="2:46" x14ac:dyDescent="0.25">
      <c r="B11" s="199">
        <f>35/4*1000000</f>
        <v>8750000</v>
      </c>
      <c r="C11" s="242">
        <f>18/4*1000000</f>
        <v>4500000</v>
      </c>
      <c r="D11" s="242">
        <f>144/4*1000000</f>
        <v>36000000</v>
      </c>
      <c r="E11" s="242">
        <f>25/4*1000000</f>
        <v>6250000</v>
      </c>
      <c r="F11" s="242">
        <f>36/4*1000000</f>
        <v>9000000</v>
      </c>
      <c r="G11" s="242">
        <f>43/4*1000000</f>
        <v>10750000</v>
      </c>
      <c r="H11" s="242">
        <v>10750000</v>
      </c>
      <c r="I11" s="147">
        <f>22/4*1000000</f>
        <v>5500000</v>
      </c>
      <c r="K11" s="96"/>
      <c r="L11" s="96"/>
      <c r="M11" s="96"/>
      <c r="N11" s="165"/>
      <c r="O11" s="165"/>
      <c r="P11" s="165"/>
      <c r="Q11" s="165"/>
      <c r="R11" s="165"/>
      <c r="S11" s="165"/>
      <c r="T11" s="165"/>
      <c r="U11" s="165"/>
      <c r="V11" s="96"/>
      <c r="W11" s="98"/>
      <c r="X11" s="143"/>
      <c r="Y11" s="113"/>
      <c r="Z11" s="113"/>
      <c r="AA11" s="113"/>
      <c r="AB11" s="113"/>
      <c r="AC11" s="113"/>
      <c r="AD11" s="113"/>
      <c r="AE11" s="113"/>
      <c r="AF11" s="165"/>
      <c r="AG11" s="96"/>
      <c r="AI11" s="83"/>
      <c r="AJ11" s="95"/>
      <c r="AK11" s="95"/>
      <c r="AL11" s="95"/>
      <c r="AM11" s="95"/>
      <c r="AN11" s="95"/>
      <c r="AO11" s="95"/>
      <c r="AP11" s="95"/>
      <c r="AQ11" s="95"/>
      <c r="AR11" s="96"/>
      <c r="AS11" s="96"/>
      <c r="AT11" s="96"/>
    </row>
    <row r="12" spans="2:46" x14ac:dyDescent="0.25">
      <c r="B12" s="199">
        <f>94/4*1000000</f>
        <v>23500000</v>
      </c>
      <c r="C12" s="242">
        <f>62/4*1000000</f>
        <v>15500000</v>
      </c>
      <c r="D12" s="242">
        <f>62/4*1000000</f>
        <v>15500000</v>
      </c>
      <c r="E12" s="242">
        <f>65/4*1000000</f>
        <v>16250000</v>
      </c>
      <c r="F12" s="242">
        <f>50/4*1000000</f>
        <v>12500000</v>
      </c>
      <c r="G12" s="242">
        <f>30/4*1000000</f>
        <v>7500000</v>
      </c>
      <c r="H12" s="242">
        <v>7500000</v>
      </c>
      <c r="I12" s="147">
        <f>34/4*1000000</f>
        <v>8500000</v>
      </c>
      <c r="K12" s="96"/>
      <c r="L12" s="96"/>
      <c r="M12" s="96"/>
      <c r="N12" s="165"/>
      <c r="O12" s="165"/>
      <c r="P12" s="165"/>
      <c r="Q12" s="165"/>
      <c r="R12" s="165"/>
      <c r="S12" s="165"/>
      <c r="T12" s="165"/>
      <c r="U12" s="165"/>
      <c r="V12" s="96"/>
      <c r="W12" s="98"/>
      <c r="X12" s="143"/>
      <c r="Y12" s="113"/>
      <c r="Z12" s="113"/>
      <c r="AA12" s="113"/>
      <c r="AB12" s="113"/>
      <c r="AC12" s="113"/>
      <c r="AD12" s="113"/>
      <c r="AE12" s="113"/>
      <c r="AF12" s="165"/>
      <c r="AG12" s="96"/>
      <c r="AI12" s="83"/>
      <c r="AJ12" s="95"/>
      <c r="AK12" s="95"/>
      <c r="AL12" s="95"/>
      <c r="AM12" s="95"/>
      <c r="AN12" s="95"/>
      <c r="AO12" s="95"/>
      <c r="AP12" s="95"/>
      <c r="AQ12" s="95"/>
      <c r="AR12" s="96"/>
      <c r="AS12" s="96"/>
      <c r="AT12" s="96"/>
    </row>
    <row r="13" spans="2:46" x14ac:dyDescent="0.25">
      <c r="B13" s="199">
        <f>90/4*1000000</f>
        <v>22500000</v>
      </c>
      <c r="C13" s="242">
        <f>71/4*1000000</f>
        <v>17750000</v>
      </c>
      <c r="D13" s="242">
        <f>89/4*1000000</f>
        <v>22250000</v>
      </c>
      <c r="E13" s="242">
        <f>64/4*1000000</f>
        <v>16000000</v>
      </c>
      <c r="F13" s="242">
        <f>70/4*1000000</f>
        <v>17500000</v>
      </c>
      <c r="G13" s="242">
        <f>33/4*1000000</f>
        <v>8250000</v>
      </c>
      <c r="H13" s="242">
        <v>8250000</v>
      </c>
      <c r="I13" s="147">
        <f>90/4*1000000</f>
        <v>22500000</v>
      </c>
      <c r="K13" s="96"/>
      <c r="L13" s="96"/>
      <c r="M13" s="96"/>
      <c r="N13" s="165"/>
      <c r="O13" s="165"/>
      <c r="P13" s="165"/>
      <c r="Q13" s="165"/>
      <c r="R13" s="165"/>
      <c r="S13" s="165"/>
      <c r="T13" s="165"/>
      <c r="U13" s="165"/>
      <c r="V13" s="96"/>
      <c r="W13" s="98"/>
      <c r="X13" s="143"/>
      <c r="Y13" s="113"/>
      <c r="Z13" s="113"/>
      <c r="AA13" s="113"/>
      <c r="AB13" s="113"/>
      <c r="AC13" s="113"/>
      <c r="AD13" s="113"/>
      <c r="AE13" s="113"/>
      <c r="AF13" s="165"/>
      <c r="AG13" s="96"/>
      <c r="AI13" s="83"/>
      <c r="AJ13" s="95"/>
      <c r="AK13" s="95"/>
      <c r="AL13" s="95"/>
      <c r="AM13" s="95"/>
      <c r="AN13" s="95"/>
      <c r="AO13" s="95"/>
      <c r="AP13" s="95"/>
      <c r="AQ13" s="95"/>
      <c r="AR13" s="96"/>
      <c r="AS13" s="96"/>
      <c r="AT13" s="96"/>
    </row>
    <row r="14" spans="2:46" x14ac:dyDescent="0.25">
      <c r="B14" s="199">
        <f>112/4*1000000</f>
        <v>28000000</v>
      </c>
      <c r="C14" s="242">
        <f>60/4*1000000</f>
        <v>15000000</v>
      </c>
      <c r="D14" s="242">
        <f>45/4*1000000</f>
        <v>11250000</v>
      </c>
      <c r="E14" s="242">
        <f>128/4*1000000</f>
        <v>32000000</v>
      </c>
      <c r="F14" s="242">
        <f>42/4*1000000</f>
        <v>10500000</v>
      </c>
      <c r="G14" s="242">
        <f>58/4*1000000</f>
        <v>14500000</v>
      </c>
      <c r="H14" s="242">
        <f>118/4*1000000</f>
        <v>29500000</v>
      </c>
      <c r="I14" s="147">
        <f>75/4*1000000</f>
        <v>18750000</v>
      </c>
      <c r="K14" s="96"/>
      <c r="L14" s="96"/>
      <c r="M14" s="96"/>
      <c r="N14" s="165"/>
      <c r="O14" s="165"/>
      <c r="P14" s="165"/>
      <c r="Q14" s="165"/>
      <c r="R14" s="165"/>
      <c r="S14" s="165"/>
      <c r="T14" s="165"/>
      <c r="U14" s="165"/>
      <c r="V14" s="96"/>
      <c r="W14" s="98"/>
      <c r="X14" s="143"/>
      <c r="Y14" s="113"/>
      <c r="Z14" s="113"/>
      <c r="AA14" s="113"/>
      <c r="AB14" s="113"/>
      <c r="AC14" s="113"/>
      <c r="AD14" s="113"/>
      <c r="AE14" s="113"/>
      <c r="AF14" s="165"/>
      <c r="AG14" s="96"/>
      <c r="AI14" s="83"/>
      <c r="AJ14" s="95"/>
      <c r="AK14" s="95"/>
      <c r="AL14" s="95"/>
      <c r="AM14" s="95"/>
      <c r="AN14" s="95"/>
      <c r="AO14" s="95"/>
      <c r="AP14" s="95"/>
      <c r="AQ14" s="95"/>
      <c r="AR14" s="96"/>
      <c r="AS14" s="96"/>
      <c r="AT14" s="96"/>
    </row>
    <row r="15" spans="2:46" x14ac:dyDescent="0.25">
      <c r="B15" s="199">
        <f>65/4*1000000</f>
        <v>16250000</v>
      </c>
      <c r="C15" s="242">
        <f>43/4*1000000</f>
        <v>10750000</v>
      </c>
      <c r="D15" s="242">
        <f>68/4*1000000</f>
        <v>17000000</v>
      </c>
      <c r="E15" s="242">
        <f>138/4*1000000</f>
        <v>34500000</v>
      </c>
      <c r="F15" s="242">
        <f>54/4*1000000</f>
        <v>13500000</v>
      </c>
      <c r="G15" s="242">
        <f>46/4*1000000</f>
        <v>11500000</v>
      </c>
      <c r="H15" s="242">
        <f>73/4*1000000</f>
        <v>18250000</v>
      </c>
      <c r="I15" s="147">
        <f>74/4*1000000</f>
        <v>18500000</v>
      </c>
      <c r="K15" s="165"/>
      <c r="L15" s="83"/>
      <c r="M15" s="96"/>
      <c r="N15" s="165"/>
      <c r="O15" s="165"/>
      <c r="P15" s="165"/>
      <c r="Q15" s="165"/>
      <c r="R15" s="165"/>
      <c r="S15" s="165"/>
      <c r="T15" s="165"/>
      <c r="U15" s="165"/>
      <c r="V15" s="96"/>
      <c r="W15" s="98"/>
      <c r="X15" s="143"/>
      <c r="Y15" s="113"/>
      <c r="Z15" s="113"/>
      <c r="AA15" s="113"/>
      <c r="AB15" s="113"/>
      <c r="AC15" s="113"/>
      <c r="AD15" s="113"/>
      <c r="AE15" s="113"/>
      <c r="AF15" s="165"/>
      <c r="AG15" s="96"/>
      <c r="AI15" s="83"/>
      <c r="AJ15" s="95"/>
      <c r="AK15" s="95"/>
      <c r="AL15" s="95"/>
      <c r="AM15" s="95"/>
      <c r="AN15" s="95"/>
      <c r="AO15" s="95"/>
      <c r="AP15" s="95"/>
      <c r="AQ15" s="95"/>
      <c r="AR15" s="96"/>
      <c r="AS15" s="96"/>
      <c r="AT15" s="96"/>
    </row>
    <row r="16" spans="2:46" x14ac:dyDescent="0.25">
      <c r="B16" s="199">
        <f>60/4*1000000</f>
        <v>15000000</v>
      </c>
      <c r="C16" s="242">
        <f>42/4*1000000</f>
        <v>10500000</v>
      </c>
      <c r="D16" s="242">
        <f>63/4*1000000</f>
        <v>15750000</v>
      </c>
      <c r="E16" s="242">
        <f>152/4*1000000</f>
        <v>38000000</v>
      </c>
      <c r="F16" s="242">
        <f>63/4*1000000</f>
        <v>15750000</v>
      </c>
      <c r="G16" s="242">
        <f>103/4*1000000</f>
        <v>25750000</v>
      </c>
      <c r="H16" s="242">
        <f>80/4*1000000</f>
        <v>20000000</v>
      </c>
      <c r="I16" s="147">
        <f>91/4*1000000</f>
        <v>22750000</v>
      </c>
      <c r="K16" s="165"/>
      <c r="L16" s="83"/>
      <c r="M16" s="96"/>
      <c r="N16" s="165"/>
      <c r="O16" s="165"/>
      <c r="P16" s="165"/>
      <c r="Q16" s="165"/>
      <c r="R16" s="165"/>
      <c r="S16" s="165"/>
      <c r="T16" s="165"/>
      <c r="U16" s="165"/>
      <c r="V16" s="96"/>
      <c r="W16" s="98"/>
      <c r="X16" s="143"/>
      <c r="Y16" s="113"/>
      <c r="Z16" s="113"/>
      <c r="AA16" s="113"/>
      <c r="AB16" s="113"/>
      <c r="AC16" s="113"/>
      <c r="AD16" s="113"/>
      <c r="AE16" s="113"/>
      <c r="AF16" s="165"/>
      <c r="AG16" s="96"/>
      <c r="AI16" s="83"/>
      <c r="AJ16" s="95"/>
      <c r="AK16" s="95"/>
      <c r="AL16" s="95"/>
      <c r="AM16" s="95"/>
      <c r="AN16" s="95"/>
      <c r="AO16" s="95"/>
      <c r="AP16" s="95"/>
      <c r="AQ16" s="95"/>
      <c r="AR16" s="96"/>
      <c r="AS16" s="96"/>
      <c r="AT16" s="96"/>
    </row>
    <row r="17" spans="2:46" x14ac:dyDescent="0.25">
      <c r="B17" s="199">
        <f>29/4*1000000</f>
        <v>7250000</v>
      </c>
      <c r="C17" s="242">
        <f>43/4*1000000</f>
        <v>10750000</v>
      </c>
      <c r="D17" s="242">
        <f>83/4*1000000</f>
        <v>20750000</v>
      </c>
      <c r="E17" s="242">
        <f>91/4*1000000</f>
        <v>22750000</v>
      </c>
      <c r="F17" s="242">
        <f>96/4*1000000</f>
        <v>24000000</v>
      </c>
      <c r="G17" s="242">
        <f>64/4*1000000</f>
        <v>16000000</v>
      </c>
      <c r="H17" s="242">
        <f>114/4*1000000</f>
        <v>28500000</v>
      </c>
      <c r="I17" s="147">
        <f>124/4*1000000</f>
        <v>31000000</v>
      </c>
      <c r="K17" s="96"/>
      <c r="L17" s="96"/>
      <c r="M17" s="96"/>
      <c r="N17" s="165"/>
      <c r="O17" s="165"/>
      <c r="P17" s="165"/>
      <c r="Q17" s="165"/>
      <c r="R17" s="165"/>
      <c r="S17" s="165"/>
      <c r="T17" s="165"/>
      <c r="U17" s="165"/>
      <c r="V17" s="96"/>
      <c r="W17" s="98"/>
      <c r="X17" s="143"/>
      <c r="Y17" s="113"/>
      <c r="Z17" s="113"/>
      <c r="AA17" s="113"/>
      <c r="AB17" s="113"/>
      <c r="AC17" s="113"/>
      <c r="AD17" s="113"/>
      <c r="AE17" s="113"/>
      <c r="AF17" s="165"/>
      <c r="AG17" s="96"/>
      <c r="AI17" s="83"/>
      <c r="AJ17" s="95"/>
      <c r="AK17" s="95"/>
      <c r="AL17" s="95"/>
      <c r="AM17" s="95"/>
      <c r="AN17" s="95"/>
      <c r="AO17" s="95"/>
      <c r="AP17" s="95"/>
      <c r="AQ17" s="95"/>
      <c r="AR17" s="96"/>
      <c r="AS17" s="96"/>
      <c r="AT17" s="96"/>
    </row>
    <row r="18" spans="2:46" x14ac:dyDescent="0.25">
      <c r="B18" s="199">
        <f>167/4*1000000</f>
        <v>41750000</v>
      </c>
      <c r="C18" s="242">
        <f>30/4*1000000</f>
        <v>7500000</v>
      </c>
      <c r="D18" s="242">
        <f>48/4*1000000</f>
        <v>12000000</v>
      </c>
      <c r="E18" s="242">
        <f>46/4*1000000</f>
        <v>11500000</v>
      </c>
      <c r="F18" s="242">
        <f>103/4*1000000</f>
        <v>25750000</v>
      </c>
      <c r="G18" s="242">
        <f>87/4*1000000</f>
        <v>21750000</v>
      </c>
      <c r="H18" s="242">
        <f>178/4*1000000</f>
        <v>44500000</v>
      </c>
      <c r="I18" s="147">
        <f>112/4*1000000</f>
        <v>28000000</v>
      </c>
      <c r="K18" s="96"/>
      <c r="L18" s="96"/>
      <c r="M18" s="96"/>
      <c r="N18" s="165"/>
      <c r="O18" s="165"/>
      <c r="P18" s="165"/>
      <c r="Q18" s="165"/>
      <c r="R18" s="165"/>
      <c r="S18" s="165"/>
      <c r="T18" s="165"/>
      <c r="U18" s="165"/>
      <c r="V18" s="96"/>
      <c r="W18" s="98"/>
      <c r="X18" s="143"/>
      <c r="Y18" s="113"/>
      <c r="Z18" s="113"/>
      <c r="AA18" s="113"/>
      <c r="AB18" s="113"/>
      <c r="AC18" s="113"/>
      <c r="AD18" s="113"/>
      <c r="AE18" s="113"/>
      <c r="AF18" s="165"/>
      <c r="AG18" s="96"/>
      <c r="AI18" s="83"/>
      <c r="AJ18" s="95"/>
      <c r="AK18" s="95"/>
      <c r="AL18" s="95"/>
      <c r="AM18" s="95"/>
      <c r="AN18" s="95"/>
      <c r="AO18" s="95"/>
      <c r="AP18" s="95"/>
      <c r="AQ18" s="95"/>
      <c r="AR18" s="96"/>
      <c r="AS18" s="96"/>
      <c r="AT18" s="96"/>
    </row>
    <row r="19" spans="2:46" x14ac:dyDescent="0.25">
      <c r="B19" s="199">
        <f>77/4*1000000</f>
        <v>19250000</v>
      </c>
      <c r="C19" s="242">
        <f>41/4*1000000</f>
        <v>10250000</v>
      </c>
      <c r="D19" s="242">
        <f>21/4*1000000</f>
        <v>5250000</v>
      </c>
      <c r="E19" s="242">
        <f>38/4*1000000</f>
        <v>9500000</v>
      </c>
      <c r="F19" s="242">
        <f>71/4*1000000</f>
        <v>17750000</v>
      </c>
      <c r="G19" s="242">
        <f>19/4*1000000</f>
        <v>4750000</v>
      </c>
      <c r="H19" s="242">
        <f>36/4*1000000</f>
        <v>9000000</v>
      </c>
      <c r="I19" s="147">
        <f>62/4*1000000</f>
        <v>15500000</v>
      </c>
      <c r="K19" s="165"/>
      <c r="L19" s="83"/>
      <c r="M19" s="96"/>
      <c r="N19" s="165"/>
      <c r="O19" s="165"/>
      <c r="P19" s="165"/>
      <c r="Q19" s="165"/>
      <c r="R19" s="165"/>
      <c r="S19" s="165"/>
      <c r="T19" s="165"/>
      <c r="U19" s="165"/>
      <c r="V19" s="96"/>
      <c r="W19" s="98"/>
      <c r="X19" s="143"/>
      <c r="Y19" s="113"/>
      <c r="Z19" s="113"/>
      <c r="AA19" s="113"/>
      <c r="AB19" s="113"/>
      <c r="AC19" s="113"/>
      <c r="AD19" s="113"/>
      <c r="AE19" s="113"/>
      <c r="AF19" s="83"/>
      <c r="AG19" s="96"/>
      <c r="AI19" s="83"/>
      <c r="AJ19" s="95"/>
      <c r="AK19" s="95"/>
      <c r="AL19" s="95"/>
      <c r="AM19" s="95"/>
      <c r="AN19" s="95"/>
      <c r="AO19" s="95"/>
      <c r="AP19" s="95"/>
      <c r="AQ19" s="95"/>
      <c r="AR19" s="96"/>
      <c r="AS19" s="96"/>
      <c r="AT19" s="96"/>
    </row>
    <row r="20" spans="2:46" x14ac:dyDescent="0.25">
      <c r="B20" s="199">
        <f>87/4*1000000</f>
        <v>21750000</v>
      </c>
      <c r="C20" s="242">
        <f>35/4*1000000</f>
        <v>8750000</v>
      </c>
      <c r="D20" s="242">
        <f>22/4*1000000</f>
        <v>5500000</v>
      </c>
      <c r="E20" s="242">
        <f>50/4*1000000</f>
        <v>12500000</v>
      </c>
      <c r="F20" s="242">
        <f>52/4*1000000</f>
        <v>13000000</v>
      </c>
      <c r="G20" s="242">
        <f>22/4*1000000</f>
        <v>5500000</v>
      </c>
      <c r="H20" s="242">
        <f>32/4*1000000</f>
        <v>8000000</v>
      </c>
      <c r="I20" s="147">
        <f>93/4*1000000</f>
        <v>23250000</v>
      </c>
      <c r="K20" s="165"/>
      <c r="L20" s="83"/>
      <c r="M20" s="96"/>
      <c r="N20" s="165"/>
      <c r="O20" s="165"/>
      <c r="P20" s="165"/>
      <c r="Q20" s="165"/>
      <c r="R20" s="165"/>
      <c r="S20" s="165"/>
      <c r="T20" s="165"/>
      <c r="U20" s="165"/>
      <c r="V20" s="96"/>
      <c r="W20" s="98"/>
      <c r="X20" s="143"/>
      <c r="Y20" s="113"/>
      <c r="Z20" s="113"/>
      <c r="AA20" s="113"/>
      <c r="AB20" s="113"/>
      <c r="AC20" s="113"/>
      <c r="AD20" s="113"/>
      <c r="AE20" s="113"/>
      <c r="AF20" s="83"/>
      <c r="AG20" s="96"/>
      <c r="AI20" s="83"/>
      <c r="AJ20" s="95"/>
      <c r="AK20" s="95"/>
      <c r="AL20" s="95"/>
      <c r="AM20" s="95"/>
      <c r="AN20" s="95"/>
      <c r="AO20" s="95"/>
      <c r="AP20" s="95"/>
      <c r="AQ20" s="95"/>
      <c r="AR20" s="96"/>
      <c r="AS20" s="96"/>
      <c r="AT20" s="96"/>
    </row>
    <row r="21" spans="2:46" x14ac:dyDescent="0.25">
      <c r="B21" s="199">
        <f>122/4*1000000</f>
        <v>30500000</v>
      </c>
      <c r="C21" s="242">
        <f>69/4*1000000</f>
        <v>17250000</v>
      </c>
      <c r="D21" s="242">
        <f>32/4*1000000</f>
        <v>8000000</v>
      </c>
      <c r="E21" s="242">
        <f>72/4*1000000</f>
        <v>18000000</v>
      </c>
      <c r="F21" s="242">
        <f>88/4*1000000</f>
        <v>22000000</v>
      </c>
      <c r="G21" s="242">
        <f>65/4*1000000</f>
        <v>16250000</v>
      </c>
      <c r="H21" s="242">
        <f>67/4*1000000</f>
        <v>16750000</v>
      </c>
      <c r="I21" s="147">
        <f>45/4*1000000</f>
        <v>11250000</v>
      </c>
      <c r="K21" s="96"/>
      <c r="L21" s="96"/>
      <c r="M21" s="96"/>
      <c r="N21" s="165"/>
      <c r="O21" s="165"/>
      <c r="P21" s="165"/>
      <c r="Q21" s="165"/>
      <c r="R21" s="165"/>
      <c r="S21" s="165"/>
      <c r="T21" s="165"/>
      <c r="U21" s="165"/>
      <c r="V21" s="96"/>
      <c r="W21" s="98"/>
      <c r="X21" s="143"/>
      <c r="Y21" s="113"/>
      <c r="Z21" s="113"/>
      <c r="AA21" s="113"/>
      <c r="AB21" s="113"/>
      <c r="AC21" s="113"/>
      <c r="AD21" s="113"/>
      <c r="AE21" s="113"/>
      <c r="AF21" s="83"/>
      <c r="AG21" s="96"/>
      <c r="AI21" s="83"/>
      <c r="AJ21" s="95"/>
      <c r="AK21" s="95"/>
      <c r="AL21" s="95"/>
      <c r="AM21" s="95"/>
      <c r="AN21" s="95"/>
      <c r="AO21" s="95"/>
      <c r="AP21" s="95"/>
      <c r="AQ21" s="95"/>
      <c r="AR21" s="96"/>
      <c r="AS21" s="96"/>
      <c r="AT21" s="96"/>
    </row>
    <row r="22" spans="2:46" x14ac:dyDescent="0.25">
      <c r="B22" s="199">
        <f>46/4*1000000</f>
        <v>11500000</v>
      </c>
      <c r="C22" s="242">
        <f>23/4*1000000</f>
        <v>5750000</v>
      </c>
      <c r="D22" s="242">
        <f>25/4*1000000</f>
        <v>6250000</v>
      </c>
      <c r="E22" s="242">
        <f>38/4*1000000</f>
        <v>9500000</v>
      </c>
      <c r="F22" s="242">
        <f>21/4*1000000</f>
        <v>5250000</v>
      </c>
      <c r="G22" s="242">
        <f>62/4*1000000</f>
        <v>15500000</v>
      </c>
      <c r="H22" s="242">
        <f>142/4*1000000</f>
        <v>35500000</v>
      </c>
      <c r="I22" s="147">
        <f>33/4*1000000</f>
        <v>8250000</v>
      </c>
      <c r="K22" s="96"/>
      <c r="L22" s="96"/>
      <c r="M22" s="96"/>
      <c r="N22" s="165"/>
      <c r="O22" s="165"/>
      <c r="P22" s="165"/>
      <c r="Q22" s="165"/>
      <c r="R22" s="165"/>
      <c r="S22" s="165"/>
      <c r="T22" s="165"/>
      <c r="U22" s="165"/>
      <c r="V22" s="96"/>
      <c r="W22" s="98"/>
      <c r="X22" s="143"/>
      <c r="Y22" s="113"/>
      <c r="Z22" s="113"/>
      <c r="AA22" s="113"/>
      <c r="AB22" s="113"/>
      <c r="AC22" s="113"/>
      <c r="AD22" s="113"/>
      <c r="AE22" s="113"/>
      <c r="AF22" s="83"/>
      <c r="AG22" s="96"/>
      <c r="AI22" s="83"/>
      <c r="AJ22" s="95"/>
      <c r="AK22" s="134"/>
      <c r="AL22" s="95"/>
      <c r="AM22" s="95"/>
      <c r="AN22" s="95"/>
      <c r="AO22" s="134"/>
      <c r="AP22" s="95"/>
      <c r="AQ22" s="95"/>
      <c r="AR22" s="96"/>
      <c r="AS22" s="96"/>
      <c r="AT22" s="96"/>
    </row>
    <row r="23" spans="2:46" x14ac:dyDescent="0.25">
      <c r="B23" s="205">
        <f>59/4*1000000</f>
        <v>14750000</v>
      </c>
      <c r="C23" s="148">
        <f>25/4*1000000</f>
        <v>6250000</v>
      </c>
      <c r="D23" s="148">
        <f>60/4*1000000</f>
        <v>15000000</v>
      </c>
      <c r="E23" s="148">
        <f>85/4*1000000</f>
        <v>21250000</v>
      </c>
      <c r="F23" s="148">
        <f>50/4*1000000</f>
        <v>12500000</v>
      </c>
      <c r="G23" s="148">
        <f>50/4*1000000</f>
        <v>12500000</v>
      </c>
      <c r="H23" s="148">
        <f>57/4*1000000</f>
        <v>14250000</v>
      </c>
      <c r="I23" s="149">
        <f>38/4*1000000</f>
        <v>9500000</v>
      </c>
      <c r="K23" s="96"/>
      <c r="L23" s="96"/>
      <c r="M23" s="96"/>
      <c r="N23" s="165"/>
      <c r="O23" s="165"/>
      <c r="P23" s="165"/>
      <c r="Q23" s="165"/>
      <c r="R23" s="165"/>
      <c r="S23" s="165"/>
      <c r="T23" s="165"/>
      <c r="U23" s="165"/>
      <c r="V23" s="96"/>
      <c r="W23" s="98"/>
      <c r="X23" s="143"/>
      <c r="Y23" s="113"/>
      <c r="Z23" s="113"/>
      <c r="AA23" s="113"/>
      <c r="AB23" s="113"/>
      <c r="AC23" s="113"/>
      <c r="AD23" s="113"/>
      <c r="AE23" s="113"/>
      <c r="AF23" s="83"/>
      <c r="AG23" s="96"/>
      <c r="AI23" s="83"/>
      <c r="AJ23" s="95"/>
      <c r="AK23" s="95"/>
      <c r="AL23" s="95"/>
      <c r="AM23" s="95"/>
      <c r="AN23" s="95"/>
      <c r="AO23" s="95"/>
      <c r="AP23" s="95"/>
      <c r="AQ23" s="95"/>
      <c r="AR23" s="96"/>
      <c r="AS23" s="96"/>
      <c r="AT23" s="96"/>
    </row>
    <row r="24" spans="2:46" x14ac:dyDescent="0.25"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8"/>
      <c r="X24" s="143"/>
      <c r="Y24" s="143"/>
      <c r="Z24" s="143"/>
      <c r="AA24" s="143"/>
      <c r="AB24" s="143"/>
      <c r="AC24" s="143"/>
      <c r="AD24" s="143"/>
      <c r="AE24" s="143"/>
      <c r="AF24" s="96"/>
      <c r="AG24" s="96"/>
      <c r="AI24" s="83"/>
      <c r="AJ24" s="95"/>
      <c r="AK24" s="95"/>
      <c r="AL24" s="95"/>
      <c r="AM24" s="95"/>
      <c r="AN24" s="95"/>
      <c r="AO24" s="95"/>
      <c r="AP24" s="95"/>
      <c r="AQ24" s="95"/>
      <c r="AR24" s="96"/>
      <c r="AS24" s="96"/>
      <c r="AT24" s="96"/>
    </row>
    <row r="25" spans="2:46" x14ac:dyDescent="0.25"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I25" s="83"/>
      <c r="AJ25" s="95"/>
      <c r="AK25" s="95"/>
      <c r="AL25" s="95"/>
      <c r="AM25" s="95"/>
      <c r="AN25" s="95"/>
      <c r="AO25" s="95"/>
      <c r="AP25" s="95"/>
      <c r="AQ25" s="95"/>
      <c r="AR25" s="96"/>
      <c r="AS25" s="96"/>
      <c r="AT25" s="96"/>
    </row>
    <row r="26" spans="2:46" x14ac:dyDescent="0.25">
      <c r="W26" s="35"/>
      <c r="X26" s="25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</row>
    <row r="27" spans="2:46" x14ac:dyDescent="0.25">
      <c r="W27" s="35"/>
      <c r="X27" s="25"/>
      <c r="AI27" s="83"/>
      <c r="AJ27" s="95"/>
      <c r="AK27" s="96"/>
      <c r="AL27" s="96"/>
      <c r="AM27" s="96"/>
      <c r="AN27" s="96"/>
      <c r="AO27" s="96"/>
      <c r="AP27" s="96"/>
      <c r="AQ27" s="96"/>
      <c r="AR27" s="96"/>
      <c r="AS27" s="96"/>
      <c r="AT27" s="96"/>
    </row>
    <row r="28" spans="2:46" x14ac:dyDescent="0.25">
      <c r="W28" s="35"/>
      <c r="X28" s="25"/>
      <c r="AI28" s="83"/>
      <c r="AJ28" s="95"/>
      <c r="AK28" s="96"/>
      <c r="AL28" s="96"/>
      <c r="AM28" s="96"/>
      <c r="AN28" s="96"/>
      <c r="AO28" s="96"/>
      <c r="AP28" s="96"/>
      <c r="AQ28" s="96"/>
      <c r="AR28" s="96"/>
      <c r="AS28" s="96"/>
      <c r="AT28" s="96"/>
    </row>
    <row r="29" spans="2:46" x14ac:dyDescent="0.25">
      <c r="W29" s="35"/>
      <c r="X29" s="25"/>
      <c r="AI29" s="83"/>
      <c r="AJ29" s="95"/>
      <c r="AK29" s="96"/>
      <c r="AL29" s="96"/>
      <c r="AM29" s="96"/>
      <c r="AN29" s="96"/>
      <c r="AO29" s="96"/>
      <c r="AP29" s="96"/>
      <c r="AQ29" s="96"/>
      <c r="AR29" s="96"/>
      <c r="AS29" s="96"/>
      <c r="AT29" s="96"/>
    </row>
    <row r="30" spans="2:46" x14ac:dyDescent="0.25">
      <c r="W30" s="35"/>
      <c r="X30" s="25"/>
      <c r="AI30" s="83"/>
      <c r="AJ30" s="95"/>
      <c r="AK30" s="96"/>
      <c r="AL30" s="96"/>
      <c r="AM30" s="96"/>
      <c r="AN30" s="96"/>
      <c r="AO30" s="96"/>
      <c r="AP30" s="96"/>
      <c r="AQ30" s="96"/>
      <c r="AR30" s="96"/>
      <c r="AS30" s="96"/>
      <c r="AT30" s="96"/>
    </row>
    <row r="31" spans="2:46" x14ac:dyDescent="0.25">
      <c r="W31" s="35"/>
      <c r="X31" s="25"/>
      <c r="AI31" s="83"/>
      <c r="AJ31" s="95"/>
      <c r="AK31" s="96"/>
      <c r="AL31" s="96"/>
      <c r="AM31" s="96"/>
      <c r="AN31" s="96"/>
      <c r="AO31" s="96"/>
      <c r="AP31" s="96"/>
      <c r="AQ31" s="96"/>
      <c r="AR31" s="96"/>
      <c r="AS31" s="96"/>
      <c r="AT31" s="96"/>
    </row>
    <row r="32" spans="2:46" x14ac:dyDescent="0.25">
      <c r="W32" s="35"/>
      <c r="X32" s="25"/>
      <c r="AI32" s="83"/>
      <c r="AJ32" s="95"/>
      <c r="AK32" s="96"/>
      <c r="AL32" s="96"/>
      <c r="AM32" s="96"/>
      <c r="AN32" s="96"/>
      <c r="AO32" s="96"/>
      <c r="AP32" s="96"/>
      <c r="AQ32" s="96"/>
      <c r="AR32" s="96"/>
      <c r="AS32" s="96"/>
      <c r="AT32" s="96"/>
    </row>
    <row r="33" spans="23:46" x14ac:dyDescent="0.25">
      <c r="W33" s="35"/>
      <c r="X33" s="25"/>
      <c r="AI33" s="83"/>
      <c r="AJ33" s="95"/>
      <c r="AK33" s="96"/>
      <c r="AL33" s="96"/>
      <c r="AM33" s="96"/>
      <c r="AN33" s="96"/>
      <c r="AO33" s="96"/>
      <c r="AP33" s="96"/>
      <c r="AQ33" s="96"/>
      <c r="AR33" s="96"/>
      <c r="AS33" s="96"/>
      <c r="AT33" s="96"/>
    </row>
    <row r="34" spans="23:46" x14ac:dyDescent="0.25">
      <c r="W34" s="35"/>
      <c r="X34" s="25"/>
      <c r="AI34" s="83"/>
      <c r="AJ34" s="95"/>
      <c r="AK34" s="96"/>
      <c r="AL34" s="96"/>
      <c r="AM34" s="96"/>
      <c r="AN34" s="96"/>
      <c r="AO34" s="96"/>
      <c r="AP34" s="96"/>
      <c r="AQ34" s="96"/>
      <c r="AR34" s="96"/>
      <c r="AS34" s="96"/>
      <c r="AT34" s="96"/>
    </row>
    <row r="35" spans="23:46" x14ac:dyDescent="0.25">
      <c r="W35" s="35"/>
      <c r="X35" s="25"/>
      <c r="AI35" s="83"/>
      <c r="AJ35" s="95"/>
      <c r="AK35" s="96"/>
      <c r="AL35" s="96"/>
      <c r="AM35" s="96"/>
      <c r="AN35" s="96"/>
      <c r="AO35" s="96"/>
      <c r="AP35" s="96"/>
      <c r="AQ35" s="96"/>
      <c r="AR35" s="96"/>
      <c r="AS35" s="96"/>
      <c r="AT35" s="96"/>
    </row>
    <row r="36" spans="23:46" x14ac:dyDescent="0.25">
      <c r="W36" s="35"/>
      <c r="X36" s="25"/>
      <c r="AI36" s="83"/>
      <c r="AJ36" s="95"/>
      <c r="AK36" s="96"/>
      <c r="AL36" s="96"/>
      <c r="AM36" s="96"/>
      <c r="AN36" s="96"/>
      <c r="AO36" s="96"/>
      <c r="AP36" s="96"/>
      <c r="AQ36" s="96"/>
      <c r="AR36" s="96"/>
      <c r="AS36" s="96"/>
      <c r="AT36" s="96"/>
    </row>
    <row r="37" spans="23:46" x14ac:dyDescent="0.25">
      <c r="W37" s="35"/>
      <c r="X37" s="25"/>
      <c r="AI37" s="83"/>
      <c r="AJ37" s="95"/>
      <c r="AK37" s="96"/>
      <c r="AL37" s="96"/>
      <c r="AM37" s="96"/>
      <c r="AN37" s="96"/>
      <c r="AO37" s="96"/>
      <c r="AP37" s="96"/>
      <c r="AQ37" s="96"/>
      <c r="AR37" s="96"/>
      <c r="AS37" s="96"/>
      <c r="AT37" s="96"/>
    </row>
    <row r="38" spans="23:46" x14ac:dyDescent="0.25">
      <c r="W38" s="35"/>
      <c r="X38" s="25"/>
      <c r="AI38" s="83"/>
      <c r="AJ38" s="95"/>
      <c r="AK38" s="96"/>
      <c r="AL38" s="96"/>
      <c r="AM38" s="96"/>
      <c r="AN38" s="96"/>
      <c r="AO38" s="96"/>
      <c r="AP38" s="96"/>
      <c r="AQ38" s="96"/>
      <c r="AR38" s="96"/>
      <c r="AS38" s="96"/>
      <c r="AT38" s="96"/>
    </row>
    <row r="39" spans="23:46" x14ac:dyDescent="0.25">
      <c r="W39" s="35"/>
      <c r="X39" s="25"/>
      <c r="AI39" s="83"/>
      <c r="AJ39" s="95"/>
      <c r="AK39" s="96"/>
      <c r="AL39" s="96"/>
      <c r="AM39" s="96"/>
      <c r="AN39" s="96"/>
      <c r="AO39" s="96"/>
      <c r="AP39" s="96"/>
      <c r="AQ39" s="96"/>
      <c r="AR39" s="96"/>
      <c r="AS39" s="96"/>
      <c r="AT39" s="96"/>
    </row>
    <row r="40" spans="23:46" x14ac:dyDescent="0.25"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</row>
    <row r="41" spans="23:46" x14ac:dyDescent="0.25"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</row>
    <row r="42" spans="23:46" x14ac:dyDescent="0.25"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</row>
    <row r="43" spans="23:46" x14ac:dyDescent="0.25"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</row>
    <row r="44" spans="23:46" x14ac:dyDescent="0.25"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</row>
    <row r="45" spans="23:46" x14ac:dyDescent="0.25"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</row>
    <row r="46" spans="23:46" x14ac:dyDescent="0.25"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</row>
    <row r="47" spans="23:46" x14ac:dyDescent="0.25"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</row>
    <row r="48" spans="23:46" x14ac:dyDescent="0.25"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</row>
    <row r="49" spans="35:46" x14ac:dyDescent="0.25"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</row>
    <row r="50" spans="35:46" x14ac:dyDescent="0.25"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</row>
    <row r="51" spans="35:46" x14ac:dyDescent="0.25"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</row>
    <row r="52" spans="35:46" x14ac:dyDescent="0.25"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</row>
    <row r="53" spans="35:46" x14ac:dyDescent="0.25"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</row>
    <row r="54" spans="35:46" x14ac:dyDescent="0.25"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</row>
    <row r="55" spans="35:46" x14ac:dyDescent="0.25"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</row>
    <row r="56" spans="35:46" x14ac:dyDescent="0.25"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</row>
    <row r="57" spans="35:46" x14ac:dyDescent="0.25"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</row>
    <row r="58" spans="35:46" x14ac:dyDescent="0.25"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</row>
    <row r="59" spans="35:46" x14ac:dyDescent="0.25"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</row>
    <row r="60" spans="35:46" x14ac:dyDescent="0.25"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</row>
  </sheetData>
  <mergeCells count="1">
    <mergeCell ref="B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8947-A83B-420A-9E78-3820672F700C}">
  <dimension ref="A1:AM184"/>
  <sheetViews>
    <sheetView zoomScale="79" zoomScaleNormal="79" workbookViewId="0">
      <selection activeCell="X11" sqref="X11"/>
    </sheetView>
  </sheetViews>
  <sheetFormatPr defaultRowHeight="15" x14ac:dyDescent="0.25"/>
  <sheetData>
    <row r="1" spans="1:39" x14ac:dyDescent="0.25">
      <c r="A1" s="121" t="s">
        <v>235</v>
      </c>
      <c r="M1" s="176"/>
      <c r="N1" s="176"/>
      <c r="O1" s="176"/>
      <c r="P1" s="176"/>
      <c r="Q1" s="176"/>
      <c r="R1" s="176"/>
    </row>
    <row r="2" spans="1:39" x14ac:dyDescent="0.25">
      <c r="B2" s="73" t="s">
        <v>3</v>
      </c>
      <c r="C2" s="73" t="s">
        <v>39</v>
      </c>
      <c r="D2" s="73" t="s">
        <v>41</v>
      </c>
      <c r="E2" s="73" t="s">
        <v>43</v>
      </c>
      <c r="F2" s="73" t="s">
        <v>44</v>
      </c>
      <c r="G2" s="73" t="s">
        <v>45</v>
      </c>
      <c r="H2" s="73" t="s">
        <v>46</v>
      </c>
      <c r="I2" s="73" t="s">
        <v>47</v>
      </c>
      <c r="J2" s="73" t="s">
        <v>48</v>
      </c>
      <c r="M2" s="96"/>
      <c r="N2" s="144"/>
      <c r="O2" s="144"/>
      <c r="P2" s="144"/>
      <c r="Q2" s="144"/>
      <c r="R2" s="144"/>
      <c r="S2" s="13"/>
    </row>
    <row r="3" spans="1:39" x14ac:dyDescent="0.25">
      <c r="A3" s="279" t="s">
        <v>6</v>
      </c>
      <c r="B3" s="145">
        <v>9</v>
      </c>
      <c r="C3" s="145">
        <v>10</v>
      </c>
      <c r="D3" s="145">
        <v>10</v>
      </c>
      <c r="E3" s="145">
        <v>10</v>
      </c>
      <c r="F3" s="145">
        <v>10</v>
      </c>
      <c r="G3" s="145">
        <v>9</v>
      </c>
      <c r="H3" s="145">
        <v>7</v>
      </c>
      <c r="I3" s="145">
        <v>0</v>
      </c>
      <c r="J3" s="146">
        <v>8</v>
      </c>
      <c r="L3" s="276" t="s">
        <v>94</v>
      </c>
      <c r="M3" s="277"/>
      <c r="N3" s="277"/>
      <c r="O3" s="277"/>
      <c r="P3" s="277"/>
      <c r="Q3" s="277"/>
      <c r="R3" s="277"/>
      <c r="S3" s="277"/>
      <c r="T3" s="277"/>
      <c r="U3" s="278"/>
      <c r="AL3" s="35"/>
      <c r="AM3" s="25"/>
    </row>
    <row r="4" spans="1:39" x14ac:dyDescent="0.25">
      <c r="A4" s="280"/>
      <c r="B4" s="89">
        <v>10</v>
      </c>
      <c r="C4" s="89">
        <v>10</v>
      </c>
      <c r="D4" s="89">
        <v>10</v>
      </c>
      <c r="E4" s="89">
        <v>10</v>
      </c>
      <c r="F4" s="89">
        <v>10</v>
      </c>
      <c r="G4" s="89">
        <v>10</v>
      </c>
      <c r="H4" s="89">
        <v>7</v>
      </c>
      <c r="I4" s="89">
        <v>9</v>
      </c>
      <c r="J4" s="147">
        <v>8</v>
      </c>
      <c r="L4" s="1" t="s">
        <v>2</v>
      </c>
      <c r="M4" s="152" t="s">
        <v>3</v>
      </c>
      <c r="N4" s="152" t="s">
        <v>39</v>
      </c>
      <c r="O4" s="152" t="s">
        <v>41</v>
      </c>
      <c r="P4" s="152" t="s">
        <v>43</v>
      </c>
      <c r="Q4" s="152" t="s">
        <v>44</v>
      </c>
      <c r="R4" s="152" t="s">
        <v>45</v>
      </c>
      <c r="S4" s="152" t="s">
        <v>46</v>
      </c>
      <c r="T4" s="152" t="s">
        <v>47</v>
      </c>
      <c r="U4" s="153" t="s">
        <v>48</v>
      </c>
      <c r="V4" s="155" t="s">
        <v>236</v>
      </c>
      <c r="AL4" s="35"/>
      <c r="AM4" s="25"/>
    </row>
    <row r="5" spans="1:39" x14ac:dyDescent="0.25">
      <c r="A5" s="280"/>
      <c r="B5" s="89">
        <v>10</v>
      </c>
      <c r="C5" s="89">
        <v>10</v>
      </c>
      <c r="D5" s="89">
        <v>10</v>
      </c>
      <c r="E5" s="89">
        <v>10</v>
      </c>
      <c r="F5" s="89">
        <v>10</v>
      </c>
      <c r="G5" s="89">
        <v>10</v>
      </c>
      <c r="H5" s="89">
        <v>7</v>
      </c>
      <c r="I5" s="89">
        <v>9</v>
      </c>
      <c r="J5" s="147">
        <v>8</v>
      </c>
      <c r="L5" s="3">
        <v>5</v>
      </c>
      <c r="M5" s="91">
        <v>0</v>
      </c>
      <c r="N5" s="92"/>
      <c r="O5" s="92"/>
      <c r="P5" s="92"/>
      <c r="Q5" s="92"/>
      <c r="R5" s="92"/>
      <c r="S5" s="92"/>
      <c r="T5" s="154"/>
      <c r="U5" s="2"/>
      <c r="V5" s="156" t="s">
        <v>237</v>
      </c>
      <c r="AL5" s="35"/>
      <c r="AM5" s="25"/>
    </row>
    <row r="6" spans="1:39" x14ac:dyDescent="0.25">
      <c r="A6" s="280"/>
      <c r="B6" s="89">
        <v>10</v>
      </c>
      <c r="C6" s="89">
        <v>10</v>
      </c>
      <c r="D6" s="89">
        <v>10</v>
      </c>
      <c r="E6" s="89">
        <v>10</v>
      </c>
      <c r="F6" s="89">
        <v>10</v>
      </c>
      <c r="G6" s="89">
        <v>10</v>
      </c>
      <c r="H6" s="89">
        <v>7</v>
      </c>
      <c r="I6" s="89">
        <v>9</v>
      </c>
      <c r="J6" s="147">
        <v>10</v>
      </c>
      <c r="L6" s="3">
        <v>5</v>
      </c>
      <c r="M6" s="91">
        <v>0</v>
      </c>
      <c r="N6" s="92"/>
      <c r="O6" s="92"/>
      <c r="P6" s="92"/>
      <c r="Q6" s="92"/>
      <c r="R6" s="92"/>
      <c r="S6" s="92"/>
      <c r="T6" s="92"/>
      <c r="U6" s="2"/>
      <c r="AL6" s="35"/>
      <c r="AM6" s="25"/>
    </row>
    <row r="7" spans="1:39" x14ac:dyDescent="0.25">
      <c r="A7" s="280"/>
      <c r="B7" s="89">
        <v>10</v>
      </c>
      <c r="C7" s="89">
        <v>10</v>
      </c>
      <c r="D7" s="89">
        <v>10</v>
      </c>
      <c r="E7" s="89">
        <v>10</v>
      </c>
      <c r="F7" s="89">
        <v>10</v>
      </c>
      <c r="G7" s="89">
        <v>10</v>
      </c>
      <c r="H7" s="89">
        <v>8</v>
      </c>
      <c r="I7" s="89">
        <v>10</v>
      </c>
      <c r="J7" s="147">
        <v>10</v>
      </c>
      <c r="L7" s="3">
        <v>5</v>
      </c>
      <c r="M7" s="91">
        <v>0</v>
      </c>
      <c r="N7" s="92"/>
      <c r="O7" s="92"/>
      <c r="P7" s="92"/>
      <c r="Q7" s="92"/>
      <c r="R7" s="92"/>
      <c r="S7" s="92"/>
      <c r="T7" s="92"/>
      <c r="U7" s="2"/>
      <c r="AL7" s="35"/>
      <c r="AM7" s="25"/>
    </row>
    <row r="8" spans="1:39" x14ac:dyDescent="0.25">
      <c r="A8" s="280"/>
      <c r="B8" s="89">
        <v>10</v>
      </c>
      <c r="C8" s="89">
        <v>10</v>
      </c>
      <c r="D8" s="89">
        <v>10</v>
      </c>
      <c r="E8" s="89">
        <v>10</v>
      </c>
      <c r="F8" s="89">
        <v>10</v>
      </c>
      <c r="G8" s="89">
        <v>10</v>
      </c>
      <c r="H8" s="89">
        <v>8</v>
      </c>
      <c r="I8" s="89">
        <v>10</v>
      </c>
      <c r="J8" s="147">
        <v>10</v>
      </c>
      <c r="L8" s="3">
        <v>5</v>
      </c>
      <c r="M8" s="91">
        <v>0</v>
      </c>
      <c r="N8" s="92"/>
      <c r="O8" s="92"/>
      <c r="P8" s="92"/>
      <c r="Q8" s="92"/>
      <c r="R8" s="92"/>
      <c r="S8" s="92"/>
      <c r="T8" s="92"/>
      <c r="U8" s="2"/>
      <c r="AL8" s="35"/>
      <c r="AM8" s="25"/>
    </row>
    <row r="9" spans="1:39" x14ac:dyDescent="0.25">
      <c r="A9" s="280"/>
      <c r="B9" s="89">
        <v>10</v>
      </c>
      <c r="C9" s="89">
        <v>10</v>
      </c>
      <c r="D9" s="89">
        <v>10</v>
      </c>
      <c r="E9" s="89">
        <v>10</v>
      </c>
      <c r="F9" s="89">
        <v>10</v>
      </c>
      <c r="G9" s="89">
        <v>10</v>
      </c>
      <c r="H9" s="89">
        <v>10</v>
      </c>
      <c r="I9" s="89">
        <v>10</v>
      </c>
      <c r="J9" s="147">
        <v>10</v>
      </c>
      <c r="L9" s="3">
        <v>5</v>
      </c>
      <c r="M9" s="91">
        <v>0</v>
      </c>
      <c r="N9" s="92"/>
      <c r="O9" s="92"/>
      <c r="P9" s="92"/>
      <c r="Q9" s="92"/>
      <c r="R9" s="92"/>
      <c r="S9" s="92"/>
      <c r="T9" s="92"/>
      <c r="U9" s="2"/>
    </row>
    <row r="10" spans="1:39" x14ac:dyDescent="0.25">
      <c r="A10" s="280"/>
      <c r="B10" s="89">
        <v>10</v>
      </c>
      <c r="C10" s="89">
        <v>10</v>
      </c>
      <c r="D10" s="89">
        <v>10</v>
      </c>
      <c r="E10" s="89">
        <v>10</v>
      </c>
      <c r="F10" s="89">
        <v>10</v>
      </c>
      <c r="G10" s="89">
        <v>10</v>
      </c>
      <c r="H10" s="89">
        <v>10</v>
      </c>
      <c r="I10" s="89">
        <v>10</v>
      </c>
      <c r="J10" s="147">
        <v>10</v>
      </c>
      <c r="L10" s="3">
        <v>5</v>
      </c>
      <c r="M10" s="91">
        <v>0</v>
      </c>
      <c r="N10" s="92"/>
      <c r="O10" s="92"/>
      <c r="P10" s="92"/>
      <c r="Q10" s="92"/>
      <c r="R10" s="92"/>
      <c r="S10" s="92"/>
      <c r="T10" s="92"/>
      <c r="U10" s="2"/>
    </row>
    <row r="11" spans="1:39" x14ac:dyDescent="0.25">
      <c r="A11" s="280"/>
      <c r="B11" s="89">
        <v>10</v>
      </c>
      <c r="C11" s="89">
        <v>10</v>
      </c>
      <c r="D11" s="89">
        <v>10</v>
      </c>
      <c r="E11" s="89">
        <v>10</v>
      </c>
      <c r="F11" s="89">
        <v>10</v>
      </c>
      <c r="G11" s="89">
        <v>10</v>
      </c>
      <c r="H11" s="89">
        <v>10</v>
      </c>
      <c r="I11" s="89">
        <v>10</v>
      </c>
      <c r="J11" s="147">
        <v>10</v>
      </c>
      <c r="L11" s="3">
        <v>5</v>
      </c>
      <c r="M11" s="91">
        <v>0</v>
      </c>
      <c r="N11" s="92"/>
      <c r="O11" s="92"/>
      <c r="P11" s="92"/>
      <c r="Q11" s="92"/>
      <c r="R11" s="92"/>
      <c r="S11" s="92"/>
      <c r="T11" s="92"/>
      <c r="U11" s="2"/>
    </row>
    <row r="12" spans="1:39" x14ac:dyDescent="0.25">
      <c r="A12" s="280"/>
      <c r="B12" s="89">
        <v>10</v>
      </c>
      <c r="C12" s="89">
        <v>10</v>
      </c>
      <c r="D12" s="89">
        <v>10</v>
      </c>
      <c r="E12" s="89">
        <v>10</v>
      </c>
      <c r="F12" s="89">
        <v>10</v>
      </c>
      <c r="G12" s="89">
        <v>10</v>
      </c>
      <c r="H12" s="89">
        <v>10</v>
      </c>
      <c r="I12" s="89">
        <v>10</v>
      </c>
      <c r="J12" s="147">
        <v>10</v>
      </c>
      <c r="L12" s="3">
        <v>5</v>
      </c>
      <c r="M12" s="91">
        <v>0</v>
      </c>
      <c r="N12" s="92"/>
      <c r="O12" s="92"/>
      <c r="P12" s="92"/>
      <c r="Q12" s="92"/>
      <c r="R12" s="92"/>
      <c r="S12" s="92"/>
      <c r="T12" s="92"/>
      <c r="U12" s="2"/>
    </row>
    <row r="13" spans="1:39" x14ac:dyDescent="0.25">
      <c r="A13" s="280"/>
      <c r="B13" s="89">
        <v>10</v>
      </c>
      <c r="C13" s="89">
        <v>10</v>
      </c>
      <c r="D13" s="89">
        <v>10</v>
      </c>
      <c r="E13" s="89">
        <v>10</v>
      </c>
      <c r="F13" s="89">
        <v>10</v>
      </c>
      <c r="G13" s="89">
        <v>10</v>
      </c>
      <c r="H13" s="89">
        <v>10</v>
      </c>
      <c r="I13" s="89">
        <v>10</v>
      </c>
      <c r="J13" s="147">
        <v>10</v>
      </c>
      <c r="L13" s="3">
        <v>5</v>
      </c>
      <c r="M13" s="91">
        <v>0</v>
      </c>
      <c r="N13" s="92"/>
      <c r="O13" s="92"/>
      <c r="P13" s="92"/>
      <c r="Q13" s="92"/>
      <c r="R13" s="92"/>
      <c r="S13" s="92"/>
      <c r="T13" s="92"/>
      <c r="U13" s="2"/>
    </row>
    <row r="14" spans="1:39" x14ac:dyDescent="0.25">
      <c r="A14" s="280"/>
      <c r="B14" s="89">
        <v>9</v>
      </c>
      <c r="C14" s="89">
        <v>10</v>
      </c>
      <c r="D14" s="89">
        <v>10</v>
      </c>
      <c r="E14" s="89">
        <v>10</v>
      </c>
      <c r="F14" s="89">
        <v>10</v>
      </c>
      <c r="G14" s="89">
        <v>9</v>
      </c>
      <c r="H14" s="89">
        <v>7</v>
      </c>
      <c r="I14" s="89">
        <v>0</v>
      </c>
      <c r="J14" s="147">
        <v>8</v>
      </c>
      <c r="L14" s="3">
        <v>5</v>
      </c>
      <c r="M14" s="91">
        <v>0</v>
      </c>
      <c r="N14" s="92"/>
      <c r="O14" s="92"/>
      <c r="P14" s="92"/>
      <c r="Q14" s="92"/>
      <c r="R14" s="92"/>
      <c r="S14" s="92"/>
      <c r="T14" s="92"/>
      <c r="U14" s="2"/>
    </row>
    <row r="15" spans="1:39" x14ac:dyDescent="0.25">
      <c r="A15" s="280"/>
      <c r="B15" s="89">
        <v>10</v>
      </c>
      <c r="C15" s="89">
        <v>10</v>
      </c>
      <c r="D15" s="89">
        <v>10</v>
      </c>
      <c r="E15" s="89">
        <v>10</v>
      </c>
      <c r="F15" s="89">
        <v>10</v>
      </c>
      <c r="G15" s="89">
        <v>10</v>
      </c>
      <c r="H15" s="89">
        <v>7</v>
      </c>
      <c r="I15" s="89">
        <v>9</v>
      </c>
      <c r="J15" s="147">
        <v>8</v>
      </c>
      <c r="L15" s="3">
        <v>5</v>
      </c>
      <c r="M15" s="91">
        <v>0</v>
      </c>
      <c r="N15" s="92"/>
      <c r="O15" s="92"/>
      <c r="P15" s="92"/>
      <c r="Q15" s="92"/>
      <c r="R15" s="92"/>
      <c r="S15" s="92"/>
      <c r="T15" s="92"/>
      <c r="U15" s="2"/>
    </row>
    <row r="16" spans="1:39" x14ac:dyDescent="0.25">
      <c r="A16" s="280"/>
      <c r="B16" s="89">
        <v>10</v>
      </c>
      <c r="C16" s="89">
        <v>10</v>
      </c>
      <c r="D16" s="89">
        <v>10</v>
      </c>
      <c r="E16" s="89">
        <v>10</v>
      </c>
      <c r="F16" s="89">
        <v>10</v>
      </c>
      <c r="G16" s="89">
        <v>10</v>
      </c>
      <c r="H16" s="89">
        <v>7</v>
      </c>
      <c r="I16" s="89">
        <v>9</v>
      </c>
      <c r="J16" s="147">
        <v>8</v>
      </c>
      <c r="L16" s="3">
        <v>5</v>
      </c>
      <c r="M16" s="91">
        <v>0</v>
      </c>
      <c r="N16" s="92"/>
      <c r="O16" s="92"/>
      <c r="P16" s="92"/>
      <c r="Q16" s="92"/>
      <c r="R16" s="92"/>
      <c r="S16" s="92"/>
      <c r="T16" s="92"/>
      <c r="U16" s="2"/>
    </row>
    <row r="17" spans="1:21" x14ac:dyDescent="0.25">
      <c r="A17" s="280"/>
      <c r="B17" s="89">
        <v>10</v>
      </c>
      <c r="C17" s="89">
        <v>10</v>
      </c>
      <c r="D17" s="89">
        <v>10</v>
      </c>
      <c r="E17" s="89">
        <v>10</v>
      </c>
      <c r="F17" s="89">
        <v>10</v>
      </c>
      <c r="G17" s="89">
        <v>10</v>
      </c>
      <c r="H17" s="89">
        <v>7</v>
      </c>
      <c r="I17" s="89">
        <v>9</v>
      </c>
      <c r="J17" s="147">
        <v>10</v>
      </c>
      <c r="L17" s="3">
        <v>5</v>
      </c>
      <c r="M17" s="91">
        <v>0</v>
      </c>
      <c r="N17" s="92"/>
      <c r="O17" s="92"/>
      <c r="P17" s="92"/>
      <c r="Q17" s="92"/>
      <c r="R17" s="92"/>
      <c r="S17" s="92"/>
      <c r="T17" s="92"/>
      <c r="U17" s="2"/>
    </row>
    <row r="18" spans="1:21" x14ac:dyDescent="0.25">
      <c r="A18" s="280"/>
      <c r="B18" s="89">
        <v>10</v>
      </c>
      <c r="C18" s="89">
        <v>10</v>
      </c>
      <c r="D18" s="89">
        <v>10</v>
      </c>
      <c r="E18" s="89">
        <v>10</v>
      </c>
      <c r="F18" s="89">
        <v>10</v>
      </c>
      <c r="G18" s="89">
        <v>10</v>
      </c>
      <c r="H18" s="89">
        <v>8</v>
      </c>
      <c r="I18" s="89">
        <v>10</v>
      </c>
      <c r="J18" s="147">
        <v>10</v>
      </c>
      <c r="L18" s="3">
        <v>5</v>
      </c>
      <c r="M18" s="91">
        <v>0</v>
      </c>
      <c r="N18" s="92"/>
      <c r="O18" s="92"/>
      <c r="P18" s="92"/>
      <c r="Q18" s="92"/>
      <c r="R18" s="92"/>
      <c r="S18" s="92"/>
      <c r="T18" s="92"/>
      <c r="U18" s="2"/>
    </row>
    <row r="19" spans="1:21" x14ac:dyDescent="0.25">
      <c r="A19" s="280"/>
      <c r="B19" s="89">
        <v>10</v>
      </c>
      <c r="C19" s="89">
        <v>10</v>
      </c>
      <c r="D19" s="89">
        <v>10</v>
      </c>
      <c r="E19" s="89">
        <v>10</v>
      </c>
      <c r="F19" s="89">
        <v>10</v>
      </c>
      <c r="G19" s="89">
        <v>10</v>
      </c>
      <c r="H19" s="89">
        <v>8</v>
      </c>
      <c r="I19" s="89">
        <v>10</v>
      </c>
      <c r="J19" s="147">
        <v>10</v>
      </c>
      <c r="L19" s="3">
        <v>5</v>
      </c>
      <c r="M19" s="91">
        <v>0</v>
      </c>
      <c r="N19" s="92"/>
      <c r="O19" s="92"/>
      <c r="P19" s="92"/>
      <c r="Q19" s="92"/>
      <c r="R19" s="92"/>
      <c r="S19" s="92"/>
      <c r="T19" s="92"/>
      <c r="U19" s="2"/>
    </row>
    <row r="20" spans="1:21" x14ac:dyDescent="0.25">
      <c r="A20" s="280"/>
      <c r="B20" s="89">
        <v>10</v>
      </c>
      <c r="C20" s="89">
        <v>10</v>
      </c>
      <c r="D20" s="89">
        <v>10</v>
      </c>
      <c r="E20" s="89">
        <v>10</v>
      </c>
      <c r="F20" s="89">
        <v>10</v>
      </c>
      <c r="G20" s="89">
        <v>10</v>
      </c>
      <c r="H20" s="89">
        <v>10</v>
      </c>
      <c r="I20" s="89">
        <v>10</v>
      </c>
      <c r="J20" s="147">
        <v>10</v>
      </c>
      <c r="L20" s="3">
        <v>5</v>
      </c>
      <c r="M20" s="91">
        <v>0</v>
      </c>
      <c r="N20" s="92"/>
      <c r="O20" s="92"/>
      <c r="P20" s="92"/>
      <c r="Q20" s="92"/>
      <c r="R20" s="92"/>
      <c r="S20" s="92"/>
      <c r="T20" s="92"/>
      <c r="U20" s="2"/>
    </row>
    <row r="21" spans="1:21" x14ac:dyDescent="0.25">
      <c r="A21" s="280"/>
      <c r="B21" s="89">
        <v>10</v>
      </c>
      <c r="C21" s="89">
        <v>10</v>
      </c>
      <c r="D21" s="89">
        <v>10</v>
      </c>
      <c r="E21" s="89">
        <v>10</v>
      </c>
      <c r="F21" s="89">
        <v>10</v>
      </c>
      <c r="G21" s="89">
        <v>10</v>
      </c>
      <c r="H21" s="89">
        <v>10</v>
      </c>
      <c r="I21" s="89">
        <v>10</v>
      </c>
      <c r="J21" s="147">
        <v>10</v>
      </c>
      <c r="L21" s="3">
        <v>5</v>
      </c>
      <c r="M21" s="91">
        <v>0</v>
      </c>
      <c r="N21" s="92"/>
      <c r="O21" s="92"/>
      <c r="P21" s="92"/>
      <c r="Q21" s="92"/>
      <c r="R21" s="92"/>
      <c r="S21" s="92"/>
      <c r="T21" s="92"/>
      <c r="U21" s="2"/>
    </row>
    <row r="22" spans="1:21" x14ac:dyDescent="0.25">
      <c r="A22" s="280"/>
      <c r="B22" s="89">
        <v>10</v>
      </c>
      <c r="C22" s="89">
        <v>10</v>
      </c>
      <c r="D22" s="89">
        <v>10</v>
      </c>
      <c r="E22" s="89">
        <v>10</v>
      </c>
      <c r="F22" s="89">
        <v>10</v>
      </c>
      <c r="G22" s="89">
        <v>10</v>
      </c>
      <c r="H22" s="89">
        <v>10</v>
      </c>
      <c r="I22" s="89">
        <v>10</v>
      </c>
      <c r="J22" s="147">
        <v>10</v>
      </c>
      <c r="L22" s="3">
        <v>5</v>
      </c>
      <c r="M22" s="91">
        <v>0</v>
      </c>
      <c r="N22" s="92"/>
      <c r="O22" s="92"/>
      <c r="P22" s="92"/>
      <c r="Q22" s="92"/>
      <c r="R22" s="92"/>
      <c r="S22" s="92"/>
      <c r="T22" s="92"/>
      <c r="U22" s="2"/>
    </row>
    <row r="23" spans="1:21" x14ac:dyDescent="0.25">
      <c r="A23" s="281"/>
      <c r="B23" s="148">
        <v>10</v>
      </c>
      <c r="C23" s="148">
        <v>10</v>
      </c>
      <c r="D23" s="148">
        <v>10</v>
      </c>
      <c r="E23" s="148">
        <v>10</v>
      </c>
      <c r="F23" s="148">
        <v>10</v>
      </c>
      <c r="G23" s="148">
        <v>10</v>
      </c>
      <c r="H23" s="148">
        <v>10</v>
      </c>
      <c r="I23" s="148">
        <v>10</v>
      </c>
      <c r="J23" s="149">
        <v>10</v>
      </c>
      <c r="L23" s="3">
        <v>5</v>
      </c>
      <c r="M23" s="91">
        <v>0</v>
      </c>
      <c r="N23" s="92"/>
      <c r="O23" s="92"/>
      <c r="P23" s="92"/>
      <c r="Q23" s="92"/>
      <c r="R23" s="92"/>
      <c r="S23" s="92"/>
      <c r="T23" s="92"/>
      <c r="U23" s="2"/>
    </row>
    <row r="24" spans="1:21" x14ac:dyDescent="0.25">
      <c r="A24" s="279" t="s">
        <v>49</v>
      </c>
      <c r="B24" s="145">
        <v>10</v>
      </c>
      <c r="C24" s="145">
        <v>10</v>
      </c>
      <c r="D24" s="145">
        <v>10</v>
      </c>
      <c r="E24" s="145">
        <v>10</v>
      </c>
      <c r="F24" s="145">
        <v>10</v>
      </c>
      <c r="G24" s="145">
        <v>10</v>
      </c>
      <c r="H24" s="145">
        <v>10</v>
      </c>
      <c r="I24" s="145">
        <v>0</v>
      </c>
      <c r="J24" s="146">
        <v>10</v>
      </c>
      <c r="L24" s="3">
        <v>5</v>
      </c>
      <c r="M24" s="91">
        <v>0</v>
      </c>
      <c r="N24" s="92"/>
      <c r="O24" s="92"/>
      <c r="P24" s="92"/>
      <c r="Q24" s="92"/>
      <c r="R24" s="92"/>
      <c r="S24" s="92"/>
      <c r="T24" s="92"/>
      <c r="U24" s="2"/>
    </row>
    <row r="25" spans="1:21" x14ac:dyDescent="0.25">
      <c r="A25" s="280"/>
      <c r="B25" s="89">
        <v>10</v>
      </c>
      <c r="C25" s="89">
        <v>9</v>
      </c>
      <c r="D25" s="89">
        <v>9</v>
      </c>
      <c r="E25" s="89">
        <v>10</v>
      </c>
      <c r="F25" s="89">
        <v>9</v>
      </c>
      <c r="G25" s="89">
        <v>10</v>
      </c>
      <c r="H25" s="89">
        <v>9</v>
      </c>
      <c r="I25" s="89">
        <v>9</v>
      </c>
      <c r="J25" s="147">
        <v>9</v>
      </c>
      <c r="L25" s="3">
        <v>5</v>
      </c>
      <c r="M25" s="92"/>
      <c r="N25" s="91">
        <v>0</v>
      </c>
      <c r="O25" s="92"/>
      <c r="P25" s="92"/>
      <c r="Q25" s="92"/>
      <c r="R25" s="92"/>
      <c r="S25" s="92"/>
      <c r="T25" s="92"/>
      <c r="U25" s="2"/>
    </row>
    <row r="26" spans="1:21" x14ac:dyDescent="0.25">
      <c r="A26" s="280"/>
      <c r="B26" s="89">
        <v>10</v>
      </c>
      <c r="C26" s="89">
        <v>10</v>
      </c>
      <c r="D26" s="89">
        <v>10</v>
      </c>
      <c r="E26" s="89">
        <v>10</v>
      </c>
      <c r="F26" s="89">
        <v>9</v>
      </c>
      <c r="G26" s="89">
        <v>10</v>
      </c>
      <c r="H26" s="89">
        <v>10</v>
      </c>
      <c r="I26" s="89">
        <v>10</v>
      </c>
      <c r="J26" s="147">
        <v>9</v>
      </c>
      <c r="L26" s="3">
        <v>5</v>
      </c>
      <c r="M26" s="92"/>
      <c r="N26" s="91">
        <v>0</v>
      </c>
      <c r="O26" s="92"/>
      <c r="P26" s="92"/>
      <c r="Q26" s="92"/>
      <c r="R26" s="92"/>
      <c r="S26" s="92"/>
      <c r="T26" s="92"/>
      <c r="U26" s="2"/>
    </row>
    <row r="27" spans="1:21" x14ac:dyDescent="0.25">
      <c r="A27" s="280"/>
      <c r="B27" s="89">
        <v>10</v>
      </c>
      <c r="C27" s="89">
        <v>10</v>
      </c>
      <c r="D27" s="89">
        <v>10</v>
      </c>
      <c r="E27" s="89">
        <v>10</v>
      </c>
      <c r="F27" s="89">
        <v>9</v>
      </c>
      <c r="G27" s="89">
        <v>10</v>
      </c>
      <c r="H27" s="89">
        <v>10</v>
      </c>
      <c r="I27" s="89">
        <v>10</v>
      </c>
      <c r="J27" s="147">
        <v>9</v>
      </c>
      <c r="L27" s="3">
        <v>5</v>
      </c>
      <c r="M27" s="92"/>
      <c r="N27" s="91">
        <v>0</v>
      </c>
      <c r="O27" s="92"/>
      <c r="P27" s="92"/>
      <c r="Q27" s="92"/>
      <c r="R27" s="92"/>
      <c r="S27" s="92"/>
      <c r="T27" s="92"/>
      <c r="U27" s="2"/>
    </row>
    <row r="28" spans="1:21" x14ac:dyDescent="0.25">
      <c r="A28" s="280"/>
      <c r="B28" s="89">
        <v>10</v>
      </c>
      <c r="C28" s="89">
        <v>10</v>
      </c>
      <c r="D28" s="89">
        <v>10</v>
      </c>
      <c r="E28" s="89">
        <v>10</v>
      </c>
      <c r="F28" s="89">
        <v>9</v>
      </c>
      <c r="G28" s="89">
        <v>10</v>
      </c>
      <c r="H28" s="89">
        <v>10</v>
      </c>
      <c r="I28" s="89">
        <v>10</v>
      </c>
      <c r="J28" s="147">
        <v>9</v>
      </c>
      <c r="L28" s="3">
        <v>5</v>
      </c>
      <c r="M28" s="92"/>
      <c r="N28" s="91">
        <v>0</v>
      </c>
      <c r="O28" s="92"/>
      <c r="P28" s="92"/>
      <c r="Q28" s="92"/>
      <c r="R28" s="92"/>
      <c r="S28" s="92"/>
      <c r="T28" s="92"/>
      <c r="U28" s="2"/>
    </row>
    <row r="29" spans="1:21" x14ac:dyDescent="0.25">
      <c r="A29" s="280"/>
      <c r="B29" s="89">
        <v>10</v>
      </c>
      <c r="C29" s="89">
        <v>10</v>
      </c>
      <c r="D29" s="89">
        <v>10</v>
      </c>
      <c r="E29" s="89">
        <v>10</v>
      </c>
      <c r="F29" s="89">
        <v>10</v>
      </c>
      <c r="G29" s="89">
        <v>10</v>
      </c>
      <c r="H29" s="89">
        <v>10</v>
      </c>
      <c r="I29" s="89">
        <v>10</v>
      </c>
      <c r="J29" s="147">
        <v>9</v>
      </c>
      <c r="L29" s="3">
        <v>5</v>
      </c>
      <c r="M29" s="92"/>
      <c r="N29" s="91">
        <v>0</v>
      </c>
      <c r="O29" s="92"/>
      <c r="P29" s="92"/>
      <c r="Q29" s="92"/>
      <c r="R29" s="92"/>
      <c r="S29" s="92"/>
      <c r="T29" s="92"/>
      <c r="U29" s="2"/>
    </row>
    <row r="30" spans="1:21" x14ac:dyDescent="0.25">
      <c r="A30" s="280"/>
      <c r="B30" s="89">
        <v>10</v>
      </c>
      <c r="C30" s="89">
        <v>10</v>
      </c>
      <c r="D30" s="89">
        <v>10</v>
      </c>
      <c r="E30" s="89">
        <v>10</v>
      </c>
      <c r="F30" s="89">
        <v>10</v>
      </c>
      <c r="G30" s="89">
        <v>10</v>
      </c>
      <c r="H30" s="89">
        <v>10</v>
      </c>
      <c r="I30" s="89">
        <v>10</v>
      </c>
      <c r="J30" s="147">
        <v>10</v>
      </c>
      <c r="L30" s="3">
        <v>5</v>
      </c>
      <c r="M30" s="92"/>
      <c r="N30" s="91">
        <v>0</v>
      </c>
      <c r="O30" s="92"/>
      <c r="P30" s="92"/>
      <c r="Q30" s="92"/>
      <c r="R30" s="92"/>
      <c r="S30" s="92"/>
      <c r="T30" s="92"/>
      <c r="U30" s="2"/>
    </row>
    <row r="31" spans="1:21" x14ac:dyDescent="0.25">
      <c r="A31" s="280"/>
      <c r="B31" s="89">
        <v>10</v>
      </c>
      <c r="C31" s="89">
        <v>10</v>
      </c>
      <c r="D31" s="89">
        <v>10</v>
      </c>
      <c r="E31" s="89">
        <v>10</v>
      </c>
      <c r="F31" s="89">
        <v>10</v>
      </c>
      <c r="G31" s="89">
        <v>10</v>
      </c>
      <c r="H31" s="89">
        <v>10</v>
      </c>
      <c r="I31" s="89">
        <v>10</v>
      </c>
      <c r="J31" s="147">
        <v>10</v>
      </c>
      <c r="L31" s="3">
        <v>5</v>
      </c>
      <c r="M31" s="92"/>
      <c r="N31" s="91">
        <v>0</v>
      </c>
      <c r="O31" s="92"/>
      <c r="P31" s="92"/>
      <c r="Q31" s="92"/>
      <c r="R31" s="92"/>
      <c r="S31" s="92"/>
      <c r="T31" s="92"/>
      <c r="U31" s="2"/>
    </row>
    <row r="32" spans="1:21" x14ac:dyDescent="0.25">
      <c r="A32" s="280"/>
      <c r="B32" s="89">
        <v>10</v>
      </c>
      <c r="C32" s="89">
        <v>10</v>
      </c>
      <c r="D32" s="89">
        <v>10</v>
      </c>
      <c r="E32" s="89">
        <v>10</v>
      </c>
      <c r="F32" s="89">
        <v>10</v>
      </c>
      <c r="G32" s="89">
        <v>10</v>
      </c>
      <c r="H32" s="89">
        <v>10</v>
      </c>
      <c r="I32" s="89">
        <v>10</v>
      </c>
      <c r="J32" s="147">
        <v>10</v>
      </c>
      <c r="L32" s="3">
        <v>5</v>
      </c>
      <c r="M32" s="92"/>
      <c r="N32" s="91">
        <v>0</v>
      </c>
      <c r="O32" s="92"/>
      <c r="P32" s="92"/>
      <c r="Q32" s="92"/>
      <c r="R32" s="92"/>
      <c r="S32" s="92"/>
      <c r="T32" s="92"/>
      <c r="U32" s="2"/>
    </row>
    <row r="33" spans="1:21" x14ac:dyDescent="0.25">
      <c r="A33" s="280"/>
      <c r="B33" s="89">
        <v>10</v>
      </c>
      <c r="C33" s="89">
        <v>10</v>
      </c>
      <c r="D33" s="89">
        <v>10</v>
      </c>
      <c r="E33" s="89">
        <v>10</v>
      </c>
      <c r="F33" s="89">
        <v>10</v>
      </c>
      <c r="G33" s="89">
        <v>10</v>
      </c>
      <c r="H33" s="89">
        <v>10</v>
      </c>
      <c r="I33" s="89">
        <v>10</v>
      </c>
      <c r="J33" s="147">
        <v>10</v>
      </c>
      <c r="L33" s="3">
        <v>5</v>
      </c>
      <c r="M33" s="92"/>
      <c r="N33" s="91">
        <v>0</v>
      </c>
      <c r="O33" s="92"/>
      <c r="P33" s="92"/>
      <c r="Q33" s="92"/>
      <c r="R33" s="92"/>
      <c r="S33" s="92"/>
      <c r="T33" s="92"/>
      <c r="U33" s="2"/>
    </row>
    <row r="34" spans="1:21" x14ac:dyDescent="0.25">
      <c r="A34" s="280"/>
      <c r="B34" s="89">
        <v>10</v>
      </c>
      <c r="C34" s="89">
        <v>10</v>
      </c>
      <c r="D34" s="89">
        <v>10</v>
      </c>
      <c r="E34" s="89">
        <v>10</v>
      </c>
      <c r="F34" s="89">
        <v>10</v>
      </c>
      <c r="G34" s="89">
        <v>10</v>
      </c>
      <c r="H34" s="89">
        <v>10</v>
      </c>
      <c r="I34" s="89">
        <v>0</v>
      </c>
      <c r="J34" s="147">
        <v>10</v>
      </c>
      <c r="L34" s="3">
        <v>5</v>
      </c>
      <c r="M34" s="92"/>
      <c r="N34" s="91">
        <v>0</v>
      </c>
      <c r="O34" s="92"/>
      <c r="P34" s="92"/>
      <c r="Q34" s="92"/>
      <c r="R34" s="92"/>
      <c r="S34" s="92"/>
      <c r="T34" s="92"/>
      <c r="U34" s="2"/>
    </row>
    <row r="35" spans="1:21" x14ac:dyDescent="0.25">
      <c r="A35" s="280"/>
      <c r="B35" s="89">
        <v>10</v>
      </c>
      <c r="C35" s="89">
        <v>9</v>
      </c>
      <c r="D35" s="89">
        <v>9</v>
      </c>
      <c r="E35" s="89">
        <v>10</v>
      </c>
      <c r="F35" s="89">
        <v>9</v>
      </c>
      <c r="G35" s="89">
        <v>10</v>
      </c>
      <c r="H35" s="89">
        <v>9</v>
      </c>
      <c r="I35" s="89">
        <v>9</v>
      </c>
      <c r="J35" s="147">
        <v>9</v>
      </c>
      <c r="L35" s="3">
        <v>5</v>
      </c>
      <c r="M35" s="92"/>
      <c r="N35" s="91">
        <v>0</v>
      </c>
      <c r="O35" s="92"/>
      <c r="P35" s="92"/>
      <c r="Q35" s="92"/>
      <c r="R35" s="92"/>
      <c r="S35" s="92"/>
      <c r="T35" s="92"/>
      <c r="U35" s="2"/>
    </row>
    <row r="36" spans="1:21" x14ac:dyDescent="0.25">
      <c r="A36" s="280"/>
      <c r="B36" s="89">
        <v>10</v>
      </c>
      <c r="C36" s="89">
        <v>10</v>
      </c>
      <c r="D36" s="89">
        <v>10</v>
      </c>
      <c r="E36" s="89">
        <v>10</v>
      </c>
      <c r="F36" s="89">
        <v>9</v>
      </c>
      <c r="G36" s="89">
        <v>10</v>
      </c>
      <c r="H36" s="89">
        <v>10</v>
      </c>
      <c r="I36" s="89">
        <v>10</v>
      </c>
      <c r="J36" s="147">
        <v>9</v>
      </c>
      <c r="L36" s="3">
        <v>5</v>
      </c>
      <c r="M36" s="92"/>
      <c r="N36" s="91">
        <v>0</v>
      </c>
      <c r="O36" s="92"/>
      <c r="P36" s="92"/>
      <c r="Q36" s="92"/>
      <c r="R36" s="92"/>
      <c r="S36" s="92"/>
      <c r="T36" s="92"/>
      <c r="U36" s="2"/>
    </row>
    <row r="37" spans="1:21" x14ac:dyDescent="0.25">
      <c r="A37" s="280"/>
      <c r="B37" s="89">
        <v>10</v>
      </c>
      <c r="C37" s="89">
        <v>10</v>
      </c>
      <c r="D37" s="89">
        <v>10</v>
      </c>
      <c r="E37" s="89">
        <v>10</v>
      </c>
      <c r="F37" s="89">
        <v>9</v>
      </c>
      <c r="G37" s="89">
        <v>10</v>
      </c>
      <c r="H37" s="89">
        <v>10</v>
      </c>
      <c r="I37" s="89">
        <v>10</v>
      </c>
      <c r="J37" s="147">
        <v>9</v>
      </c>
      <c r="L37" s="3">
        <v>5</v>
      </c>
      <c r="M37" s="92"/>
      <c r="N37" s="91">
        <v>0</v>
      </c>
      <c r="O37" s="92"/>
      <c r="P37" s="92"/>
      <c r="Q37" s="92"/>
      <c r="R37" s="92"/>
      <c r="S37" s="92"/>
      <c r="T37" s="92"/>
      <c r="U37" s="2"/>
    </row>
    <row r="38" spans="1:21" x14ac:dyDescent="0.25">
      <c r="A38" s="280"/>
      <c r="B38" s="89">
        <v>10</v>
      </c>
      <c r="C38" s="89">
        <v>10</v>
      </c>
      <c r="D38" s="89">
        <v>10</v>
      </c>
      <c r="E38" s="89">
        <v>10</v>
      </c>
      <c r="F38" s="89">
        <v>9</v>
      </c>
      <c r="G38" s="89">
        <v>10</v>
      </c>
      <c r="H38" s="89">
        <v>10</v>
      </c>
      <c r="I38" s="89">
        <v>10</v>
      </c>
      <c r="J38" s="147">
        <v>9</v>
      </c>
      <c r="L38" s="3">
        <v>5</v>
      </c>
      <c r="M38" s="92"/>
      <c r="N38" s="91">
        <v>0</v>
      </c>
      <c r="O38" s="92"/>
      <c r="P38" s="92"/>
      <c r="Q38" s="92"/>
      <c r="R38" s="92"/>
      <c r="S38" s="92"/>
      <c r="T38" s="92"/>
      <c r="U38" s="2"/>
    </row>
    <row r="39" spans="1:21" x14ac:dyDescent="0.25">
      <c r="A39" s="280"/>
      <c r="B39" s="89">
        <v>10</v>
      </c>
      <c r="C39" s="89">
        <v>10</v>
      </c>
      <c r="D39" s="89">
        <v>10</v>
      </c>
      <c r="E39" s="89">
        <v>10</v>
      </c>
      <c r="F39" s="89">
        <v>10</v>
      </c>
      <c r="G39" s="89">
        <v>10</v>
      </c>
      <c r="H39" s="89">
        <v>10</v>
      </c>
      <c r="I39" s="89">
        <v>10</v>
      </c>
      <c r="J39" s="147">
        <v>9</v>
      </c>
      <c r="L39" s="3">
        <v>5</v>
      </c>
      <c r="M39" s="92"/>
      <c r="N39" s="91">
        <v>0</v>
      </c>
      <c r="O39" s="92"/>
      <c r="P39" s="92"/>
      <c r="Q39" s="92"/>
      <c r="R39" s="92"/>
      <c r="S39" s="92"/>
      <c r="T39" s="92"/>
      <c r="U39" s="2"/>
    </row>
    <row r="40" spans="1:21" x14ac:dyDescent="0.25">
      <c r="A40" s="280"/>
      <c r="B40" s="89">
        <v>10</v>
      </c>
      <c r="C40" s="89">
        <v>10</v>
      </c>
      <c r="D40" s="89">
        <v>10</v>
      </c>
      <c r="E40" s="89">
        <v>10</v>
      </c>
      <c r="F40" s="89">
        <v>10</v>
      </c>
      <c r="G40" s="89">
        <v>10</v>
      </c>
      <c r="H40" s="89">
        <v>10</v>
      </c>
      <c r="I40" s="89">
        <v>10</v>
      </c>
      <c r="J40" s="147">
        <v>10</v>
      </c>
      <c r="L40" s="3">
        <v>5</v>
      </c>
      <c r="M40" s="92"/>
      <c r="N40" s="91">
        <v>0</v>
      </c>
      <c r="O40" s="92"/>
      <c r="P40" s="92"/>
      <c r="Q40" s="92"/>
      <c r="R40" s="92"/>
      <c r="S40" s="92"/>
      <c r="T40" s="92"/>
      <c r="U40" s="2"/>
    </row>
    <row r="41" spans="1:21" x14ac:dyDescent="0.25">
      <c r="A41" s="280"/>
      <c r="B41" s="89">
        <v>10</v>
      </c>
      <c r="C41" s="89">
        <v>10</v>
      </c>
      <c r="D41" s="89">
        <v>10</v>
      </c>
      <c r="E41" s="89">
        <v>10</v>
      </c>
      <c r="F41" s="89">
        <v>10</v>
      </c>
      <c r="G41" s="89">
        <v>10</v>
      </c>
      <c r="H41" s="89">
        <v>10</v>
      </c>
      <c r="I41" s="89">
        <v>10</v>
      </c>
      <c r="J41" s="147">
        <v>10</v>
      </c>
      <c r="L41" s="3">
        <v>5</v>
      </c>
      <c r="M41" s="92"/>
      <c r="N41" s="91">
        <v>0</v>
      </c>
      <c r="O41" s="92"/>
      <c r="P41" s="92"/>
      <c r="Q41" s="92"/>
      <c r="R41" s="92"/>
      <c r="S41" s="92"/>
      <c r="T41" s="92"/>
      <c r="U41" s="2"/>
    </row>
    <row r="42" spans="1:21" x14ac:dyDescent="0.25">
      <c r="A42" s="280"/>
      <c r="B42" s="89">
        <v>10</v>
      </c>
      <c r="C42" s="89">
        <v>10</v>
      </c>
      <c r="D42" s="89">
        <v>10</v>
      </c>
      <c r="E42" s="89">
        <v>10</v>
      </c>
      <c r="F42" s="89">
        <v>10</v>
      </c>
      <c r="G42" s="89">
        <v>10</v>
      </c>
      <c r="H42" s="89">
        <v>10</v>
      </c>
      <c r="I42" s="89">
        <v>10</v>
      </c>
      <c r="J42" s="147">
        <v>10</v>
      </c>
      <c r="L42" s="3">
        <v>5</v>
      </c>
      <c r="M42" s="92"/>
      <c r="N42" s="91">
        <v>0</v>
      </c>
      <c r="O42" s="92"/>
      <c r="P42" s="92"/>
      <c r="Q42" s="92"/>
      <c r="R42" s="92"/>
      <c r="S42" s="92"/>
      <c r="T42" s="92"/>
      <c r="U42" s="2"/>
    </row>
    <row r="43" spans="1:21" x14ac:dyDescent="0.25">
      <c r="A43" s="280"/>
      <c r="B43" s="89">
        <v>10</v>
      </c>
      <c r="C43" s="89">
        <v>10</v>
      </c>
      <c r="D43" s="89">
        <v>10</v>
      </c>
      <c r="E43" s="89">
        <v>10</v>
      </c>
      <c r="F43" s="89">
        <v>10</v>
      </c>
      <c r="G43" s="89">
        <v>10</v>
      </c>
      <c r="H43" s="89">
        <v>10</v>
      </c>
      <c r="I43" s="89">
        <v>10</v>
      </c>
      <c r="J43" s="147">
        <v>10</v>
      </c>
      <c r="L43" s="3">
        <v>5</v>
      </c>
      <c r="M43" s="92"/>
      <c r="N43" s="91">
        <v>0</v>
      </c>
      <c r="O43" s="92"/>
      <c r="P43" s="92"/>
      <c r="Q43" s="92"/>
      <c r="R43" s="92"/>
      <c r="S43" s="92"/>
      <c r="T43" s="92"/>
      <c r="U43" s="2"/>
    </row>
    <row r="44" spans="1:21" x14ac:dyDescent="0.25">
      <c r="A44" s="281"/>
      <c r="B44" s="150"/>
      <c r="C44" s="150"/>
      <c r="D44" s="150"/>
      <c r="E44" s="150"/>
      <c r="F44" s="150"/>
      <c r="G44" s="150"/>
      <c r="H44" s="150"/>
      <c r="I44" s="150"/>
      <c r="J44" s="151"/>
      <c r="L44" s="3">
        <v>5</v>
      </c>
      <c r="M44" s="92"/>
      <c r="N44" s="91">
        <v>0</v>
      </c>
      <c r="O44" s="92"/>
      <c r="P44" s="92"/>
      <c r="Q44" s="92"/>
      <c r="R44" s="92"/>
      <c r="S44" s="92"/>
      <c r="T44" s="92"/>
      <c r="U44" s="2"/>
    </row>
    <row r="45" spans="1:21" x14ac:dyDescent="0.25">
      <c r="A45" s="279" t="s">
        <v>50</v>
      </c>
      <c r="B45" s="145">
        <v>9</v>
      </c>
      <c r="C45" s="145">
        <v>9</v>
      </c>
      <c r="D45" s="145">
        <v>0</v>
      </c>
      <c r="E45" s="145">
        <v>9</v>
      </c>
      <c r="F45" s="145">
        <v>9</v>
      </c>
      <c r="G45" s="145">
        <v>0</v>
      </c>
      <c r="H45" s="145">
        <v>10</v>
      </c>
      <c r="I45" s="145">
        <v>0</v>
      </c>
      <c r="J45" s="146">
        <v>7</v>
      </c>
      <c r="L45" s="3">
        <v>3</v>
      </c>
      <c r="M45" s="92"/>
      <c r="N45" s="92"/>
      <c r="O45" s="91">
        <v>1</v>
      </c>
      <c r="P45" s="92"/>
      <c r="Q45" s="92"/>
      <c r="R45" s="92"/>
      <c r="S45" s="92"/>
      <c r="T45" s="92"/>
      <c r="U45" s="2"/>
    </row>
    <row r="46" spans="1:21" x14ac:dyDescent="0.25">
      <c r="A46" s="280"/>
      <c r="B46" s="89">
        <v>9</v>
      </c>
      <c r="C46" s="89">
        <v>10</v>
      </c>
      <c r="D46" s="89">
        <v>10</v>
      </c>
      <c r="E46" s="89">
        <v>9</v>
      </c>
      <c r="F46" s="89">
        <v>10</v>
      </c>
      <c r="G46" s="89">
        <v>10</v>
      </c>
      <c r="H46" s="89">
        <v>10</v>
      </c>
      <c r="I46" s="89">
        <v>9</v>
      </c>
      <c r="J46" s="147">
        <v>9</v>
      </c>
      <c r="L46" s="3">
        <v>3</v>
      </c>
      <c r="M46" s="92"/>
      <c r="N46" s="92"/>
      <c r="O46" s="91">
        <v>1</v>
      </c>
      <c r="P46" s="92"/>
      <c r="Q46" s="92"/>
      <c r="R46" s="92"/>
      <c r="S46" s="92"/>
      <c r="T46" s="92"/>
      <c r="U46" s="2"/>
    </row>
    <row r="47" spans="1:21" x14ac:dyDescent="0.25">
      <c r="A47" s="280"/>
      <c r="B47" s="89">
        <v>9</v>
      </c>
      <c r="C47" s="89">
        <v>10</v>
      </c>
      <c r="D47" s="89">
        <v>10</v>
      </c>
      <c r="E47" s="89">
        <v>10</v>
      </c>
      <c r="F47" s="89">
        <v>10</v>
      </c>
      <c r="G47" s="89">
        <v>10</v>
      </c>
      <c r="H47" s="89">
        <v>10</v>
      </c>
      <c r="I47" s="89">
        <v>9</v>
      </c>
      <c r="J47" s="147">
        <v>10</v>
      </c>
      <c r="L47" s="3">
        <v>5</v>
      </c>
      <c r="M47" s="92"/>
      <c r="N47" s="92"/>
      <c r="O47" s="91">
        <v>0</v>
      </c>
      <c r="P47" s="92"/>
      <c r="Q47" s="92"/>
      <c r="R47" s="92"/>
      <c r="S47" s="92"/>
      <c r="T47" s="92"/>
      <c r="U47" s="2"/>
    </row>
    <row r="48" spans="1:21" x14ac:dyDescent="0.25">
      <c r="A48" s="280"/>
      <c r="B48" s="89">
        <v>10</v>
      </c>
      <c r="C48" s="89">
        <v>10</v>
      </c>
      <c r="D48" s="89">
        <v>10</v>
      </c>
      <c r="E48" s="89">
        <v>10</v>
      </c>
      <c r="F48" s="89">
        <v>10</v>
      </c>
      <c r="G48" s="89">
        <v>10</v>
      </c>
      <c r="H48" s="89">
        <v>10</v>
      </c>
      <c r="I48" s="89">
        <v>10</v>
      </c>
      <c r="J48" s="147">
        <v>10</v>
      </c>
      <c r="L48" s="3">
        <v>5</v>
      </c>
      <c r="M48" s="92"/>
      <c r="N48" s="92"/>
      <c r="O48" s="91">
        <v>0</v>
      </c>
      <c r="P48" s="92"/>
      <c r="Q48" s="92"/>
      <c r="R48" s="92"/>
      <c r="S48" s="92"/>
      <c r="T48" s="92"/>
      <c r="U48" s="2"/>
    </row>
    <row r="49" spans="1:21" x14ac:dyDescent="0.25">
      <c r="A49" s="280"/>
      <c r="B49" s="89">
        <v>10</v>
      </c>
      <c r="C49" s="89">
        <v>10</v>
      </c>
      <c r="D49" s="89">
        <v>10</v>
      </c>
      <c r="E49" s="89">
        <v>10</v>
      </c>
      <c r="F49" s="89">
        <v>10</v>
      </c>
      <c r="G49" s="89">
        <v>10</v>
      </c>
      <c r="H49" s="89">
        <v>10</v>
      </c>
      <c r="I49" s="89">
        <v>10</v>
      </c>
      <c r="J49" s="147">
        <v>10</v>
      </c>
      <c r="L49" s="3">
        <v>5</v>
      </c>
      <c r="M49" s="92"/>
      <c r="N49" s="92"/>
      <c r="O49" s="91">
        <v>0</v>
      </c>
      <c r="P49" s="92"/>
      <c r="Q49" s="92"/>
      <c r="R49" s="92"/>
      <c r="S49" s="92"/>
      <c r="T49" s="92"/>
      <c r="U49" s="2"/>
    </row>
    <row r="50" spans="1:21" x14ac:dyDescent="0.25">
      <c r="A50" s="280"/>
      <c r="B50" s="89">
        <v>10</v>
      </c>
      <c r="C50" s="89">
        <v>10</v>
      </c>
      <c r="D50" s="89">
        <v>10</v>
      </c>
      <c r="E50" s="89">
        <v>10</v>
      </c>
      <c r="F50" s="89">
        <v>10</v>
      </c>
      <c r="G50" s="89">
        <v>10</v>
      </c>
      <c r="H50" s="89">
        <v>10</v>
      </c>
      <c r="I50" s="89">
        <v>10</v>
      </c>
      <c r="J50" s="147">
        <v>10</v>
      </c>
      <c r="L50" s="3">
        <v>5</v>
      </c>
      <c r="M50" s="92"/>
      <c r="N50" s="92"/>
      <c r="O50" s="91">
        <v>0</v>
      </c>
      <c r="P50" s="92"/>
      <c r="Q50" s="92"/>
      <c r="R50" s="92"/>
      <c r="S50" s="92"/>
      <c r="T50" s="92"/>
      <c r="U50" s="2"/>
    </row>
    <row r="51" spans="1:21" x14ac:dyDescent="0.25">
      <c r="A51" s="280"/>
      <c r="B51" s="89">
        <v>10</v>
      </c>
      <c r="C51" s="89">
        <v>10</v>
      </c>
      <c r="D51" s="89">
        <v>10</v>
      </c>
      <c r="E51" s="89">
        <v>10</v>
      </c>
      <c r="F51" s="89">
        <v>10</v>
      </c>
      <c r="G51" s="89">
        <v>10</v>
      </c>
      <c r="H51" s="89">
        <v>10</v>
      </c>
      <c r="I51" s="89">
        <v>10</v>
      </c>
      <c r="J51" s="147">
        <v>10</v>
      </c>
      <c r="L51" s="3">
        <v>5</v>
      </c>
      <c r="M51" s="92"/>
      <c r="N51" s="92"/>
      <c r="O51" s="91">
        <v>0</v>
      </c>
      <c r="P51" s="92"/>
      <c r="Q51" s="92"/>
      <c r="R51" s="92"/>
      <c r="S51" s="92"/>
      <c r="T51" s="92"/>
      <c r="U51" s="2"/>
    </row>
    <row r="52" spans="1:21" x14ac:dyDescent="0.25">
      <c r="A52" s="280"/>
      <c r="B52" s="89">
        <v>10</v>
      </c>
      <c r="C52" s="89">
        <v>10</v>
      </c>
      <c r="D52" s="89">
        <v>10</v>
      </c>
      <c r="E52" s="89">
        <v>10</v>
      </c>
      <c r="F52" s="89">
        <v>10</v>
      </c>
      <c r="G52" s="89">
        <v>10</v>
      </c>
      <c r="H52" s="89">
        <v>10</v>
      </c>
      <c r="I52" s="89">
        <v>10</v>
      </c>
      <c r="J52" s="147">
        <v>10</v>
      </c>
      <c r="L52" s="3">
        <v>5</v>
      </c>
      <c r="M52" s="92"/>
      <c r="N52" s="92"/>
      <c r="O52" s="91">
        <v>0</v>
      </c>
      <c r="P52" s="92"/>
      <c r="Q52" s="92"/>
      <c r="R52" s="92"/>
      <c r="S52" s="92"/>
      <c r="T52" s="92"/>
      <c r="U52" s="2"/>
    </row>
    <row r="53" spans="1:21" x14ac:dyDescent="0.25">
      <c r="A53" s="280"/>
      <c r="B53" s="89">
        <v>10</v>
      </c>
      <c r="C53" s="89">
        <v>10</v>
      </c>
      <c r="D53" s="89">
        <v>10</v>
      </c>
      <c r="E53" s="89">
        <v>10</v>
      </c>
      <c r="F53" s="89">
        <v>10</v>
      </c>
      <c r="G53" s="89">
        <v>10</v>
      </c>
      <c r="H53" s="89">
        <v>10</v>
      </c>
      <c r="I53" s="89">
        <v>10</v>
      </c>
      <c r="J53" s="147">
        <v>10</v>
      </c>
      <c r="L53" s="3">
        <v>5</v>
      </c>
      <c r="M53" s="92"/>
      <c r="N53" s="92"/>
      <c r="O53" s="91">
        <v>0</v>
      </c>
      <c r="P53" s="92"/>
      <c r="Q53" s="92"/>
      <c r="R53" s="92"/>
      <c r="S53" s="92"/>
      <c r="T53" s="92"/>
      <c r="U53" s="2"/>
    </row>
    <row r="54" spans="1:21" x14ac:dyDescent="0.25">
      <c r="A54" s="280"/>
      <c r="B54" s="89">
        <v>10</v>
      </c>
      <c r="C54" s="89">
        <v>10</v>
      </c>
      <c r="D54" s="89">
        <v>10</v>
      </c>
      <c r="E54" s="89">
        <v>10</v>
      </c>
      <c r="F54" s="89">
        <v>10</v>
      </c>
      <c r="G54" s="89">
        <v>10</v>
      </c>
      <c r="H54" s="89">
        <v>10</v>
      </c>
      <c r="I54" s="89">
        <v>10</v>
      </c>
      <c r="J54" s="147">
        <v>10</v>
      </c>
      <c r="L54" s="3">
        <v>5</v>
      </c>
      <c r="M54" s="92"/>
      <c r="N54" s="92"/>
      <c r="O54" s="91">
        <v>0</v>
      </c>
      <c r="P54" s="92"/>
      <c r="Q54" s="92"/>
      <c r="R54" s="92"/>
      <c r="S54" s="92"/>
      <c r="T54" s="92"/>
      <c r="U54" s="2"/>
    </row>
    <row r="55" spans="1:21" x14ac:dyDescent="0.25">
      <c r="A55" s="280"/>
      <c r="B55" s="89">
        <v>9</v>
      </c>
      <c r="C55" s="89">
        <v>9</v>
      </c>
      <c r="D55" s="89">
        <v>0</v>
      </c>
      <c r="E55" s="89">
        <v>9</v>
      </c>
      <c r="F55" s="89">
        <v>9</v>
      </c>
      <c r="G55" s="89">
        <v>0</v>
      </c>
      <c r="H55" s="89">
        <v>10</v>
      </c>
      <c r="I55" s="89">
        <v>0</v>
      </c>
      <c r="J55" s="147">
        <v>7</v>
      </c>
      <c r="L55" s="3">
        <v>5</v>
      </c>
      <c r="M55" s="92"/>
      <c r="N55" s="92"/>
      <c r="O55" s="91">
        <v>0</v>
      </c>
      <c r="P55" s="92"/>
      <c r="Q55" s="92"/>
      <c r="R55" s="92"/>
      <c r="S55" s="92"/>
      <c r="T55" s="92"/>
      <c r="U55" s="2"/>
    </row>
    <row r="56" spans="1:21" x14ac:dyDescent="0.25">
      <c r="A56" s="280"/>
      <c r="B56" s="89">
        <v>9</v>
      </c>
      <c r="C56" s="89">
        <v>10</v>
      </c>
      <c r="D56" s="89">
        <v>10</v>
      </c>
      <c r="E56" s="89">
        <v>9</v>
      </c>
      <c r="F56" s="89">
        <v>10</v>
      </c>
      <c r="G56" s="89">
        <v>10</v>
      </c>
      <c r="H56" s="89">
        <v>10</v>
      </c>
      <c r="I56" s="89">
        <v>9</v>
      </c>
      <c r="J56" s="147">
        <v>9</v>
      </c>
      <c r="L56" s="3">
        <v>5</v>
      </c>
      <c r="M56" s="92"/>
      <c r="N56" s="92"/>
      <c r="O56" s="91">
        <v>0</v>
      </c>
      <c r="P56" s="92"/>
      <c r="Q56" s="92"/>
      <c r="R56" s="92"/>
      <c r="S56" s="92"/>
      <c r="T56" s="92"/>
      <c r="U56" s="2"/>
    </row>
    <row r="57" spans="1:21" x14ac:dyDescent="0.25">
      <c r="A57" s="280"/>
      <c r="B57" s="89">
        <v>9</v>
      </c>
      <c r="C57" s="89">
        <v>10</v>
      </c>
      <c r="D57" s="89">
        <v>10</v>
      </c>
      <c r="E57" s="89">
        <v>10</v>
      </c>
      <c r="F57" s="89">
        <v>10</v>
      </c>
      <c r="G57" s="89">
        <v>10</v>
      </c>
      <c r="H57" s="89">
        <v>10</v>
      </c>
      <c r="I57" s="89">
        <v>9</v>
      </c>
      <c r="J57" s="147">
        <v>10</v>
      </c>
      <c r="L57" s="3">
        <v>5</v>
      </c>
      <c r="M57" s="92"/>
      <c r="N57" s="92"/>
      <c r="O57" s="91">
        <v>0</v>
      </c>
      <c r="P57" s="92"/>
      <c r="Q57" s="92"/>
      <c r="R57" s="92"/>
      <c r="S57" s="92"/>
      <c r="T57" s="92"/>
      <c r="U57" s="2"/>
    </row>
    <row r="58" spans="1:21" x14ac:dyDescent="0.25">
      <c r="A58" s="280"/>
      <c r="B58" s="89">
        <v>10</v>
      </c>
      <c r="C58" s="89">
        <v>10</v>
      </c>
      <c r="D58" s="89">
        <v>10</v>
      </c>
      <c r="E58" s="89">
        <v>10</v>
      </c>
      <c r="F58" s="89">
        <v>10</v>
      </c>
      <c r="G58" s="89">
        <v>10</v>
      </c>
      <c r="H58" s="89">
        <v>10</v>
      </c>
      <c r="I58" s="89">
        <v>10</v>
      </c>
      <c r="J58" s="147">
        <v>10</v>
      </c>
      <c r="L58" s="3">
        <v>5</v>
      </c>
      <c r="M58" s="92"/>
      <c r="N58" s="92"/>
      <c r="O58" s="91">
        <v>0</v>
      </c>
      <c r="P58" s="92"/>
      <c r="Q58" s="92"/>
      <c r="R58" s="92"/>
      <c r="S58" s="92"/>
      <c r="T58" s="92"/>
      <c r="U58" s="2"/>
    </row>
    <row r="59" spans="1:21" x14ac:dyDescent="0.25">
      <c r="A59" s="280"/>
      <c r="B59" s="89">
        <v>10</v>
      </c>
      <c r="C59" s="89">
        <v>10</v>
      </c>
      <c r="D59" s="89">
        <v>10</v>
      </c>
      <c r="E59" s="89">
        <v>10</v>
      </c>
      <c r="F59" s="89">
        <v>10</v>
      </c>
      <c r="G59" s="89">
        <v>10</v>
      </c>
      <c r="H59" s="89">
        <v>10</v>
      </c>
      <c r="I59" s="89">
        <v>10</v>
      </c>
      <c r="J59" s="147">
        <v>10</v>
      </c>
      <c r="L59" s="3">
        <v>5</v>
      </c>
      <c r="M59" s="92"/>
      <c r="N59" s="92"/>
      <c r="O59" s="91">
        <v>0</v>
      </c>
      <c r="P59" s="92"/>
      <c r="Q59" s="92"/>
      <c r="R59" s="92"/>
      <c r="S59" s="92"/>
      <c r="T59" s="92"/>
      <c r="U59" s="2"/>
    </row>
    <row r="60" spans="1:21" x14ac:dyDescent="0.25">
      <c r="A60" s="280"/>
      <c r="B60" s="89">
        <v>10</v>
      </c>
      <c r="C60" s="89">
        <v>10</v>
      </c>
      <c r="D60" s="89">
        <v>10</v>
      </c>
      <c r="E60" s="89">
        <v>10</v>
      </c>
      <c r="F60" s="89">
        <v>10</v>
      </c>
      <c r="G60" s="89">
        <v>10</v>
      </c>
      <c r="H60" s="89">
        <v>10</v>
      </c>
      <c r="I60" s="89">
        <v>10</v>
      </c>
      <c r="J60" s="147">
        <v>10</v>
      </c>
      <c r="L60" s="3">
        <v>5</v>
      </c>
      <c r="M60" s="92"/>
      <c r="N60" s="92"/>
      <c r="O60" s="91">
        <v>0</v>
      </c>
      <c r="P60" s="92"/>
      <c r="Q60" s="92"/>
      <c r="R60" s="92"/>
      <c r="S60" s="92"/>
      <c r="T60" s="92"/>
      <c r="U60" s="2"/>
    </row>
    <row r="61" spans="1:21" x14ac:dyDescent="0.25">
      <c r="A61" s="280"/>
      <c r="B61" s="89">
        <v>10</v>
      </c>
      <c r="C61" s="89">
        <v>10</v>
      </c>
      <c r="D61" s="89">
        <v>10</v>
      </c>
      <c r="E61" s="89">
        <v>10</v>
      </c>
      <c r="F61" s="89">
        <v>10</v>
      </c>
      <c r="G61" s="89">
        <v>10</v>
      </c>
      <c r="H61" s="89">
        <v>10</v>
      </c>
      <c r="I61" s="89">
        <v>10</v>
      </c>
      <c r="J61" s="147">
        <v>10</v>
      </c>
      <c r="L61" s="3">
        <v>5</v>
      </c>
      <c r="M61" s="92"/>
      <c r="N61" s="92"/>
      <c r="O61" s="91">
        <v>0</v>
      </c>
      <c r="P61" s="92"/>
      <c r="Q61" s="92"/>
      <c r="R61" s="92"/>
      <c r="S61" s="92"/>
      <c r="T61" s="92"/>
      <c r="U61" s="2"/>
    </row>
    <row r="62" spans="1:21" x14ac:dyDescent="0.25">
      <c r="A62" s="280"/>
      <c r="B62" s="89">
        <v>10</v>
      </c>
      <c r="C62" s="89">
        <v>10</v>
      </c>
      <c r="D62" s="89">
        <v>10</v>
      </c>
      <c r="E62" s="89">
        <v>10</v>
      </c>
      <c r="F62" s="89">
        <v>10</v>
      </c>
      <c r="G62" s="89">
        <v>10</v>
      </c>
      <c r="H62" s="89">
        <v>10</v>
      </c>
      <c r="I62" s="89">
        <v>10</v>
      </c>
      <c r="J62" s="147">
        <v>10</v>
      </c>
      <c r="L62" s="3">
        <v>5</v>
      </c>
      <c r="M62" s="92"/>
      <c r="N62" s="92"/>
      <c r="O62" s="91">
        <v>0</v>
      </c>
      <c r="P62" s="92"/>
      <c r="Q62" s="92"/>
      <c r="R62" s="92"/>
      <c r="S62" s="92"/>
      <c r="T62" s="92"/>
      <c r="U62" s="2"/>
    </row>
    <row r="63" spans="1:21" x14ac:dyDescent="0.25">
      <c r="A63" s="280"/>
      <c r="B63" s="89">
        <v>10</v>
      </c>
      <c r="C63" s="89">
        <v>10</v>
      </c>
      <c r="D63" s="89">
        <v>10</v>
      </c>
      <c r="E63" s="89">
        <v>10</v>
      </c>
      <c r="F63" s="89">
        <v>10</v>
      </c>
      <c r="G63" s="89">
        <v>10</v>
      </c>
      <c r="H63" s="89">
        <v>10</v>
      </c>
      <c r="I63" s="89">
        <v>10</v>
      </c>
      <c r="J63" s="147">
        <v>10</v>
      </c>
      <c r="L63" s="3">
        <v>5</v>
      </c>
      <c r="M63" s="92"/>
      <c r="N63" s="92"/>
      <c r="O63" s="91">
        <v>0</v>
      </c>
      <c r="P63" s="92"/>
      <c r="Q63" s="92"/>
      <c r="R63" s="92"/>
      <c r="S63" s="92"/>
      <c r="T63" s="92"/>
      <c r="U63" s="2"/>
    </row>
    <row r="64" spans="1:21" x14ac:dyDescent="0.25">
      <c r="A64" s="280"/>
      <c r="B64" s="89">
        <v>10</v>
      </c>
      <c r="C64" s="89">
        <v>10</v>
      </c>
      <c r="D64" s="89">
        <v>10</v>
      </c>
      <c r="E64" s="89">
        <v>10</v>
      </c>
      <c r="F64" s="89">
        <v>10</v>
      </c>
      <c r="G64" s="89">
        <v>10</v>
      </c>
      <c r="H64" s="89">
        <v>10</v>
      </c>
      <c r="I64" s="89">
        <v>10</v>
      </c>
      <c r="J64" s="147">
        <v>10</v>
      </c>
      <c r="L64" s="3">
        <v>5</v>
      </c>
      <c r="M64" s="92"/>
      <c r="N64" s="92"/>
      <c r="O64" s="91">
        <v>0</v>
      </c>
      <c r="P64" s="92"/>
      <c r="Q64" s="92"/>
      <c r="R64" s="92"/>
      <c r="S64" s="92"/>
      <c r="T64" s="92"/>
      <c r="U64" s="2"/>
    </row>
    <row r="65" spans="1:21" x14ac:dyDescent="0.25">
      <c r="A65" s="281"/>
      <c r="B65" s="150"/>
      <c r="C65" s="150"/>
      <c r="D65" s="150"/>
      <c r="E65" s="150"/>
      <c r="F65" s="150"/>
      <c r="G65" s="150"/>
      <c r="H65" s="150"/>
      <c r="I65" s="150"/>
      <c r="J65" s="151"/>
      <c r="L65" s="3">
        <v>5</v>
      </c>
      <c r="M65" s="92"/>
      <c r="N65" s="92"/>
      <c r="O65" s="92"/>
      <c r="P65" s="91">
        <v>0</v>
      </c>
      <c r="Q65" s="92"/>
      <c r="R65" s="92"/>
      <c r="S65" s="92"/>
      <c r="T65" s="92"/>
      <c r="U65" s="2"/>
    </row>
    <row r="66" spans="1:21" x14ac:dyDescent="0.25">
      <c r="A66" s="279" t="s">
        <v>51</v>
      </c>
      <c r="B66" s="145">
        <v>9</v>
      </c>
      <c r="C66" s="145">
        <v>9</v>
      </c>
      <c r="D66" s="145">
        <v>0</v>
      </c>
      <c r="E66" s="145">
        <v>9</v>
      </c>
      <c r="F66" s="145">
        <v>9</v>
      </c>
      <c r="G66" s="145">
        <v>0</v>
      </c>
      <c r="H66" s="145">
        <v>8</v>
      </c>
      <c r="I66" s="145">
        <v>0</v>
      </c>
      <c r="J66" s="146">
        <v>0</v>
      </c>
      <c r="L66" s="3">
        <v>5</v>
      </c>
      <c r="M66" s="92"/>
      <c r="N66" s="92"/>
      <c r="O66" s="92"/>
      <c r="P66" s="91">
        <v>0</v>
      </c>
      <c r="Q66" s="92"/>
      <c r="R66" s="92"/>
      <c r="S66" s="92"/>
      <c r="T66" s="92"/>
      <c r="U66" s="2"/>
    </row>
    <row r="67" spans="1:21" x14ac:dyDescent="0.25">
      <c r="A67" s="280"/>
      <c r="B67" s="89">
        <v>9</v>
      </c>
      <c r="C67" s="89">
        <v>9</v>
      </c>
      <c r="D67" s="89">
        <v>10</v>
      </c>
      <c r="E67" s="89">
        <v>9</v>
      </c>
      <c r="F67" s="89">
        <v>9.5</v>
      </c>
      <c r="G67" s="89">
        <v>9</v>
      </c>
      <c r="H67" s="89">
        <v>8</v>
      </c>
      <c r="I67" s="89">
        <v>8</v>
      </c>
      <c r="J67" s="147">
        <v>9</v>
      </c>
      <c r="L67" s="3">
        <v>5</v>
      </c>
      <c r="M67" s="92"/>
      <c r="N67" s="92"/>
      <c r="O67" s="92"/>
      <c r="P67" s="91">
        <v>0</v>
      </c>
      <c r="Q67" s="92"/>
      <c r="R67" s="92"/>
      <c r="S67" s="92"/>
      <c r="T67" s="92"/>
      <c r="U67" s="2"/>
    </row>
    <row r="68" spans="1:21" x14ac:dyDescent="0.25">
      <c r="A68" s="280"/>
      <c r="B68" s="89">
        <v>9</v>
      </c>
      <c r="C68" s="89">
        <v>10</v>
      </c>
      <c r="D68" s="89">
        <v>10</v>
      </c>
      <c r="E68" s="89">
        <v>10</v>
      </c>
      <c r="F68" s="89">
        <v>9.5</v>
      </c>
      <c r="G68" s="89">
        <v>10</v>
      </c>
      <c r="H68" s="89">
        <v>8</v>
      </c>
      <c r="I68" s="89">
        <v>8</v>
      </c>
      <c r="J68" s="147">
        <v>9</v>
      </c>
      <c r="L68" s="3">
        <v>5</v>
      </c>
      <c r="M68" s="92"/>
      <c r="N68" s="92"/>
      <c r="O68" s="92"/>
      <c r="P68" s="91">
        <v>0</v>
      </c>
      <c r="Q68" s="92"/>
      <c r="R68" s="92"/>
      <c r="S68" s="92"/>
      <c r="T68" s="92"/>
      <c r="U68" s="2"/>
    </row>
    <row r="69" spans="1:21" x14ac:dyDescent="0.25">
      <c r="A69" s="280"/>
      <c r="B69" s="89">
        <v>10</v>
      </c>
      <c r="C69" s="89">
        <v>10</v>
      </c>
      <c r="D69" s="89">
        <v>10</v>
      </c>
      <c r="E69" s="89">
        <v>10</v>
      </c>
      <c r="F69" s="89">
        <v>9.5</v>
      </c>
      <c r="G69" s="89">
        <v>10</v>
      </c>
      <c r="H69" s="89">
        <v>8</v>
      </c>
      <c r="I69" s="89">
        <v>10</v>
      </c>
      <c r="J69" s="147">
        <v>10</v>
      </c>
      <c r="L69" s="3">
        <v>5</v>
      </c>
      <c r="M69" s="92"/>
      <c r="N69" s="92"/>
      <c r="O69" s="92"/>
      <c r="P69" s="91">
        <v>0</v>
      </c>
      <c r="Q69" s="92"/>
      <c r="R69" s="92"/>
      <c r="S69" s="92"/>
      <c r="T69" s="92"/>
      <c r="U69" s="2"/>
    </row>
    <row r="70" spans="1:21" x14ac:dyDescent="0.25">
      <c r="A70" s="280"/>
      <c r="B70" s="89">
        <v>10</v>
      </c>
      <c r="C70" s="89">
        <v>10</v>
      </c>
      <c r="D70" s="89">
        <v>10</v>
      </c>
      <c r="E70" s="89">
        <v>10</v>
      </c>
      <c r="F70" s="89">
        <v>9.5</v>
      </c>
      <c r="G70" s="89">
        <v>10</v>
      </c>
      <c r="H70" s="89">
        <v>8</v>
      </c>
      <c r="I70" s="89">
        <v>10</v>
      </c>
      <c r="J70" s="147">
        <v>10</v>
      </c>
      <c r="L70" s="3">
        <v>5</v>
      </c>
      <c r="M70" s="92"/>
      <c r="N70" s="92"/>
      <c r="O70" s="92"/>
      <c r="P70" s="91">
        <v>0</v>
      </c>
      <c r="Q70" s="92"/>
      <c r="R70" s="92"/>
      <c r="S70" s="92"/>
      <c r="T70" s="92"/>
      <c r="U70" s="2"/>
    </row>
    <row r="71" spans="1:21" x14ac:dyDescent="0.25">
      <c r="A71" s="280"/>
      <c r="B71" s="89">
        <v>10</v>
      </c>
      <c r="C71" s="89">
        <v>10</v>
      </c>
      <c r="D71" s="89">
        <v>10</v>
      </c>
      <c r="E71" s="89">
        <v>10</v>
      </c>
      <c r="F71" s="89">
        <v>8.5</v>
      </c>
      <c r="G71" s="89">
        <v>10</v>
      </c>
      <c r="H71" s="89">
        <v>9</v>
      </c>
      <c r="I71" s="89">
        <v>10</v>
      </c>
      <c r="J71" s="147">
        <v>10</v>
      </c>
      <c r="L71" s="3">
        <v>5</v>
      </c>
      <c r="M71" s="92"/>
      <c r="N71" s="92"/>
      <c r="O71" s="92"/>
      <c r="P71" s="91">
        <v>0</v>
      </c>
      <c r="Q71" s="92"/>
      <c r="R71" s="92"/>
      <c r="S71" s="92"/>
      <c r="T71" s="92"/>
      <c r="U71" s="2"/>
    </row>
    <row r="72" spans="1:21" x14ac:dyDescent="0.25">
      <c r="A72" s="280"/>
      <c r="B72" s="89">
        <v>10</v>
      </c>
      <c r="C72" s="89">
        <v>10</v>
      </c>
      <c r="D72" s="89">
        <v>10</v>
      </c>
      <c r="E72" s="89">
        <v>10</v>
      </c>
      <c r="F72" s="89">
        <v>10</v>
      </c>
      <c r="G72" s="89">
        <v>10</v>
      </c>
      <c r="H72" s="89">
        <v>9</v>
      </c>
      <c r="I72" s="89">
        <v>10</v>
      </c>
      <c r="J72" s="147">
        <v>10</v>
      </c>
      <c r="L72" s="3">
        <v>5</v>
      </c>
      <c r="M72" s="92"/>
      <c r="N72" s="92"/>
      <c r="O72" s="92"/>
      <c r="P72" s="91">
        <v>0</v>
      </c>
      <c r="Q72" s="92"/>
      <c r="R72" s="92"/>
      <c r="S72" s="92"/>
      <c r="T72" s="92"/>
      <c r="U72" s="2"/>
    </row>
    <row r="73" spans="1:21" x14ac:dyDescent="0.25">
      <c r="A73" s="280"/>
      <c r="B73" s="89">
        <v>10</v>
      </c>
      <c r="C73" s="89">
        <v>10</v>
      </c>
      <c r="D73" s="89">
        <v>10</v>
      </c>
      <c r="E73" s="89">
        <v>10</v>
      </c>
      <c r="F73" s="89">
        <v>10</v>
      </c>
      <c r="G73" s="89">
        <v>10</v>
      </c>
      <c r="H73" s="89">
        <v>9</v>
      </c>
      <c r="I73" s="89">
        <v>10</v>
      </c>
      <c r="J73" s="147">
        <v>10</v>
      </c>
      <c r="L73" s="3">
        <v>5</v>
      </c>
      <c r="M73" s="92"/>
      <c r="N73" s="92"/>
      <c r="O73" s="92"/>
      <c r="P73" s="91">
        <v>0</v>
      </c>
      <c r="Q73" s="92"/>
      <c r="R73" s="92"/>
      <c r="S73" s="92"/>
      <c r="T73" s="92"/>
      <c r="U73" s="2"/>
    </row>
    <row r="74" spans="1:21" x14ac:dyDescent="0.25">
      <c r="A74" s="280"/>
      <c r="B74" s="89">
        <v>10</v>
      </c>
      <c r="C74" s="89">
        <v>10</v>
      </c>
      <c r="D74" s="89">
        <v>10</v>
      </c>
      <c r="E74" s="89">
        <v>10</v>
      </c>
      <c r="F74" s="89">
        <v>10</v>
      </c>
      <c r="G74" s="89">
        <v>10</v>
      </c>
      <c r="H74" s="89">
        <v>9</v>
      </c>
      <c r="I74" s="89">
        <v>10</v>
      </c>
      <c r="J74" s="147">
        <v>10</v>
      </c>
      <c r="L74" s="3">
        <v>5</v>
      </c>
      <c r="M74" s="92"/>
      <c r="N74" s="92"/>
      <c r="O74" s="92"/>
      <c r="P74" s="91">
        <v>0</v>
      </c>
      <c r="Q74" s="92"/>
      <c r="R74" s="92"/>
      <c r="S74" s="92"/>
      <c r="T74" s="92"/>
      <c r="U74" s="2"/>
    </row>
    <row r="75" spans="1:21" x14ac:dyDescent="0.25">
      <c r="A75" s="280"/>
      <c r="B75" s="89">
        <v>10</v>
      </c>
      <c r="C75" s="89">
        <v>10</v>
      </c>
      <c r="D75" s="89">
        <v>10</v>
      </c>
      <c r="E75" s="89">
        <v>10</v>
      </c>
      <c r="F75" s="89">
        <v>10</v>
      </c>
      <c r="G75" s="89">
        <v>10</v>
      </c>
      <c r="H75" s="89">
        <v>9</v>
      </c>
      <c r="I75" s="89">
        <v>10</v>
      </c>
      <c r="J75" s="147">
        <v>10</v>
      </c>
      <c r="L75" s="3">
        <v>5</v>
      </c>
      <c r="M75" s="92"/>
      <c r="N75" s="92"/>
      <c r="O75" s="92"/>
      <c r="P75" s="91">
        <v>0</v>
      </c>
      <c r="Q75" s="92"/>
      <c r="R75" s="92"/>
      <c r="S75" s="92"/>
      <c r="T75" s="92"/>
      <c r="U75" s="2"/>
    </row>
    <row r="76" spans="1:21" x14ac:dyDescent="0.25">
      <c r="A76" s="280"/>
      <c r="B76" s="89">
        <v>9</v>
      </c>
      <c r="C76" s="89">
        <v>9</v>
      </c>
      <c r="D76" s="89">
        <v>0</v>
      </c>
      <c r="E76" s="89">
        <v>9</v>
      </c>
      <c r="F76" s="89">
        <v>9</v>
      </c>
      <c r="G76" s="89">
        <v>0</v>
      </c>
      <c r="H76" s="89">
        <v>8</v>
      </c>
      <c r="I76" s="89">
        <v>0</v>
      </c>
      <c r="J76" s="147">
        <v>0</v>
      </c>
      <c r="L76" s="3">
        <v>5</v>
      </c>
      <c r="M76" s="92"/>
      <c r="N76" s="92"/>
      <c r="O76" s="92"/>
      <c r="P76" s="91">
        <v>0</v>
      </c>
      <c r="Q76" s="92"/>
      <c r="R76" s="92"/>
      <c r="S76" s="92"/>
      <c r="T76" s="92"/>
      <c r="U76" s="2"/>
    </row>
    <row r="77" spans="1:21" x14ac:dyDescent="0.25">
      <c r="A77" s="280"/>
      <c r="B77" s="89">
        <v>9</v>
      </c>
      <c r="C77" s="89">
        <v>9</v>
      </c>
      <c r="D77" s="89">
        <v>10</v>
      </c>
      <c r="E77" s="89">
        <v>9</v>
      </c>
      <c r="F77" s="89">
        <v>9.5</v>
      </c>
      <c r="G77" s="89">
        <v>9</v>
      </c>
      <c r="H77" s="89">
        <v>8</v>
      </c>
      <c r="I77" s="89">
        <v>8</v>
      </c>
      <c r="J77" s="147">
        <v>9</v>
      </c>
      <c r="L77" s="3">
        <v>5</v>
      </c>
      <c r="M77" s="92"/>
      <c r="N77" s="92"/>
      <c r="O77" s="92"/>
      <c r="P77" s="91">
        <v>0</v>
      </c>
      <c r="Q77" s="92"/>
      <c r="R77" s="92"/>
      <c r="S77" s="92"/>
      <c r="T77" s="92"/>
      <c r="U77" s="2"/>
    </row>
    <row r="78" spans="1:21" x14ac:dyDescent="0.25">
      <c r="A78" s="280"/>
      <c r="B78" s="89">
        <v>9</v>
      </c>
      <c r="C78" s="89">
        <v>10</v>
      </c>
      <c r="D78" s="89">
        <v>10</v>
      </c>
      <c r="E78" s="89">
        <v>10</v>
      </c>
      <c r="F78" s="89">
        <v>9.5</v>
      </c>
      <c r="G78" s="89">
        <v>10</v>
      </c>
      <c r="H78" s="89">
        <v>8</v>
      </c>
      <c r="I78" s="89">
        <v>8</v>
      </c>
      <c r="J78" s="147">
        <v>9</v>
      </c>
      <c r="L78" s="3">
        <v>5</v>
      </c>
      <c r="M78" s="92"/>
      <c r="N78" s="92"/>
      <c r="O78" s="92"/>
      <c r="P78" s="91">
        <v>0</v>
      </c>
      <c r="Q78" s="92"/>
      <c r="R78" s="92"/>
      <c r="S78" s="92"/>
      <c r="T78" s="92"/>
      <c r="U78" s="2"/>
    </row>
    <row r="79" spans="1:21" x14ac:dyDescent="0.25">
      <c r="A79" s="280"/>
      <c r="B79" s="89">
        <v>10</v>
      </c>
      <c r="C79" s="89">
        <v>10</v>
      </c>
      <c r="D79" s="89">
        <v>10</v>
      </c>
      <c r="E79" s="89">
        <v>10</v>
      </c>
      <c r="F79" s="89">
        <v>9.5</v>
      </c>
      <c r="G79" s="89">
        <v>10</v>
      </c>
      <c r="H79" s="89">
        <v>8</v>
      </c>
      <c r="I79" s="89">
        <v>10</v>
      </c>
      <c r="J79" s="147">
        <v>10</v>
      </c>
      <c r="L79" s="3">
        <v>5</v>
      </c>
      <c r="M79" s="92"/>
      <c r="N79" s="92"/>
      <c r="O79" s="92"/>
      <c r="P79" s="91">
        <v>0</v>
      </c>
      <c r="Q79" s="92"/>
      <c r="R79" s="92"/>
      <c r="S79" s="92"/>
      <c r="T79" s="92"/>
      <c r="U79" s="2"/>
    </row>
    <row r="80" spans="1:21" x14ac:dyDescent="0.25">
      <c r="A80" s="280"/>
      <c r="B80" s="89">
        <v>10</v>
      </c>
      <c r="C80" s="89">
        <v>10</v>
      </c>
      <c r="D80" s="89">
        <v>10</v>
      </c>
      <c r="E80" s="89">
        <v>10</v>
      </c>
      <c r="F80" s="89">
        <v>9.5</v>
      </c>
      <c r="G80" s="89">
        <v>10</v>
      </c>
      <c r="H80" s="89">
        <v>8</v>
      </c>
      <c r="I80" s="89">
        <v>10</v>
      </c>
      <c r="J80" s="147">
        <v>10</v>
      </c>
      <c r="L80" s="3">
        <v>5</v>
      </c>
      <c r="M80" s="92"/>
      <c r="N80" s="92"/>
      <c r="O80" s="92"/>
      <c r="P80" s="91">
        <v>0</v>
      </c>
      <c r="Q80" s="92"/>
      <c r="R80" s="92"/>
      <c r="S80" s="92"/>
      <c r="T80" s="92"/>
      <c r="U80" s="2"/>
    </row>
    <row r="81" spans="1:21" x14ac:dyDescent="0.25">
      <c r="A81" s="280"/>
      <c r="B81" s="89">
        <v>10</v>
      </c>
      <c r="C81" s="89">
        <v>10</v>
      </c>
      <c r="D81" s="89">
        <v>10</v>
      </c>
      <c r="E81" s="89">
        <v>10</v>
      </c>
      <c r="F81" s="89">
        <v>8.5</v>
      </c>
      <c r="G81" s="89">
        <v>10</v>
      </c>
      <c r="H81" s="89">
        <v>9</v>
      </c>
      <c r="I81" s="89">
        <v>10</v>
      </c>
      <c r="J81" s="147">
        <v>10</v>
      </c>
      <c r="L81" s="3">
        <v>5</v>
      </c>
      <c r="M81" s="92"/>
      <c r="N81" s="92"/>
      <c r="O81" s="92"/>
      <c r="P81" s="91">
        <v>0</v>
      </c>
      <c r="Q81" s="92"/>
      <c r="R81" s="92"/>
      <c r="S81" s="92"/>
      <c r="T81" s="92"/>
      <c r="U81" s="2"/>
    </row>
    <row r="82" spans="1:21" x14ac:dyDescent="0.25">
      <c r="A82" s="280"/>
      <c r="B82" s="89">
        <v>10</v>
      </c>
      <c r="C82" s="89">
        <v>10</v>
      </c>
      <c r="D82" s="89">
        <v>10</v>
      </c>
      <c r="E82" s="89">
        <v>10</v>
      </c>
      <c r="F82" s="89">
        <v>10</v>
      </c>
      <c r="G82" s="89">
        <v>10</v>
      </c>
      <c r="H82" s="89">
        <v>9</v>
      </c>
      <c r="I82" s="89">
        <v>10</v>
      </c>
      <c r="J82" s="147">
        <v>10</v>
      </c>
      <c r="L82" s="3">
        <v>5</v>
      </c>
      <c r="M82" s="92"/>
      <c r="N82" s="92"/>
      <c r="O82" s="92"/>
      <c r="P82" s="91">
        <v>0</v>
      </c>
      <c r="Q82" s="92"/>
      <c r="R82" s="92"/>
      <c r="S82" s="92"/>
      <c r="T82" s="92"/>
      <c r="U82" s="2"/>
    </row>
    <row r="83" spans="1:21" x14ac:dyDescent="0.25">
      <c r="A83" s="280"/>
      <c r="B83" s="89">
        <v>10</v>
      </c>
      <c r="C83" s="89">
        <v>10</v>
      </c>
      <c r="D83" s="89">
        <v>10</v>
      </c>
      <c r="E83" s="89">
        <v>10</v>
      </c>
      <c r="F83" s="89">
        <v>10</v>
      </c>
      <c r="G83" s="89">
        <v>10</v>
      </c>
      <c r="H83" s="89">
        <v>9</v>
      </c>
      <c r="I83" s="89">
        <v>10</v>
      </c>
      <c r="J83" s="147">
        <v>10</v>
      </c>
      <c r="L83" s="3">
        <v>5</v>
      </c>
      <c r="M83" s="92"/>
      <c r="N83" s="92"/>
      <c r="O83" s="92"/>
      <c r="P83" s="91">
        <v>0</v>
      </c>
      <c r="Q83" s="92"/>
      <c r="R83" s="92"/>
      <c r="S83" s="92"/>
      <c r="T83" s="92"/>
      <c r="U83" s="2"/>
    </row>
    <row r="84" spans="1:21" x14ac:dyDescent="0.25">
      <c r="A84" s="280"/>
      <c r="B84" s="89">
        <v>10</v>
      </c>
      <c r="C84" s="89">
        <v>10</v>
      </c>
      <c r="D84" s="89">
        <v>10</v>
      </c>
      <c r="E84" s="89">
        <v>10</v>
      </c>
      <c r="F84" s="89">
        <v>10</v>
      </c>
      <c r="G84" s="89">
        <v>10</v>
      </c>
      <c r="H84" s="89">
        <v>9</v>
      </c>
      <c r="I84" s="89">
        <v>10</v>
      </c>
      <c r="J84" s="147">
        <v>10</v>
      </c>
      <c r="L84" s="3">
        <v>5</v>
      </c>
      <c r="M84" s="92"/>
      <c r="N84" s="92"/>
      <c r="O84" s="92"/>
      <c r="P84" s="91">
        <v>0</v>
      </c>
      <c r="Q84" s="92"/>
      <c r="R84" s="92"/>
      <c r="S84" s="92"/>
      <c r="T84" s="92"/>
      <c r="U84" s="2"/>
    </row>
    <row r="85" spans="1:21" x14ac:dyDescent="0.25">
      <c r="A85" s="280"/>
      <c r="B85" s="89">
        <v>10</v>
      </c>
      <c r="C85" s="89">
        <v>10</v>
      </c>
      <c r="D85" s="89">
        <v>10</v>
      </c>
      <c r="E85" s="89">
        <v>10</v>
      </c>
      <c r="F85" s="89">
        <v>10</v>
      </c>
      <c r="G85" s="89">
        <v>10</v>
      </c>
      <c r="H85" s="89">
        <v>9</v>
      </c>
      <c r="I85" s="89">
        <v>10</v>
      </c>
      <c r="J85" s="147">
        <v>10</v>
      </c>
      <c r="L85" s="3">
        <v>5</v>
      </c>
      <c r="M85" s="92"/>
      <c r="N85" s="92"/>
      <c r="O85" s="92"/>
      <c r="P85" s="92"/>
      <c r="Q85" s="91">
        <v>0</v>
      </c>
      <c r="R85" s="92"/>
      <c r="S85" s="92"/>
      <c r="T85" s="92"/>
      <c r="U85" s="2"/>
    </row>
    <row r="86" spans="1:21" x14ac:dyDescent="0.25">
      <c r="A86" s="281"/>
      <c r="B86" s="150"/>
      <c r="C86" s="150"/>
      <c r="D86" s="150"/>
      <c r="E86" s="150"/>
      <c r="F86" s="150"/>
      <c r="G86" s="150"/>
      <c r="H86" s="150"/>
      <c r="I86" s="150"/>
      <c r="J86" s="151"/>
      <c r="L86" s="3">
        <v>5</v>
      </c>
      <c r="M86" s="92"/>
      <c r="N86" s="92"/>
      <c r="O86" s="92"/>
      <c r="P86" s="92"/>
      <c r="Q86" s="91">
        <v>0</v>
      </c>
      <c r="R86" s="92"/>
      <c r="S86" s="92"/>
      <c r="T86" s="92"/>
      <c r="U86" s="2"/>
    </row>
    <row r="87" spans="1:21" x14ac:dyDescent="0.25">
      <c r="A87" s="279" t="s">
        <v>52</v>
      </c>
      <c r="B87" s="145">
        <v>10</v>
      </c>
      <c r="C87" s="145">
        <v>10</v>
      </c>
      <c r="D87" s="145">
        <v>0</v>
      </c>
      <c r="E87" s="145">
        <v>9</v>
      </c>
      <c r="F87" s="145">
        <v>9.5</v>
      </c>
      <c r="G87" s="145">
        <v>0</v>
      </c>
      <c r="H87" s="145">
        <v>8</v>
      </c>
      <c r="I87" s="145">
        <v>0</v>
      </c>
      <c r="J87" s="146">
        <v>0</v>
      </c>
      <c r="L87" s="3">
        <v>5</v>
      </c>
      <c r="M87" s="92"/>
      <c r="N87" s="92"/>
      <c r="O87" s="92"/>
      <c r="P87" s="92"/>
      <c r="Q87" s="91">
        <v>0</v>
      </c>
      <c r="R87" s="92"/>
      <c r="S87" s="92"/>
      <c r="T87" s="92"/>
      <c r="U87" s="2"/>
    </row>
    <row r="88" spans="1:21" x14ac:dyDescent="0.25">
      <c r="A88" s="280"/>
      <c r="B88" s="89">
        <v>10</v>
      </c>
      <c r="C88" s="89">
        <v>10</v>
      </c>
      <c r="D88" s="89">
        <v>10</v>
      </c>
      <c r="E88" s="89">
        <v>9</v>
      </c>
      <c r="F88" s="89">
        <v>9.5</v>
      </c>
      <c r="G88" s="89">
        <v>10</v>
      </c>
      <c r="H88" s="89">
        <v>8</v>
      </c>
      <c r="I88" s="89">
        <v>9</v>
      </c>
      <c r="J88" s="147">
        <v>0</v>
      </c>
      <c r="L88" s="3">
        <v>5</v>
      </c>
      <c r="M88" s="92"/>
      <c r="N88" s="92"/>
      <c r="O88" s="92"/>
      <c r="P88" s="92"/>
      <c r="Q88" s="91">
        <v>0</v>
      </c>
      <c r="R88" s="92"/>
      <c r="S88" s="92"/>
      <c r="T88" s="92"/>
      <c r="U88" s="2"/>
    </row>
    <row r="89" spans="1:21" x14ac:dyDescent="0.25">
      <c r="A89" s="280"/>
      <c r="B89" s="89">
        <v>10</v>
      </c>
      <c r="C89" s="89">
        <v>10</v>
      </c>
      <c r="D89" s="89">
        <v>10</v>
      </c>
      <c r="E89" s="89">
        <v>10</v>
      </c>
      <c r="F89" s="89">
        <v>9.5</v>
      </c>
      <c r="G89" s="89">
        <v>10</v>
      </c>
      <c r="H89" s="89">
        <v>8</v>
      </c>
      <c r="I89" s="89">
        <v>8.5</v>
      </c>
      <c r="J89" s="147">
        <v>8</v>
      </c>
      <c r="L89" s="3">
        <v>5</v>
      </c>
      <c r="M89" s="92"/>
      <c r="N89" s="92"/>
      <c r="O89" s="92"/>
      <c r="P89" s="92"/>
      <c r="Q89" s="91">
        <v>0</v>
      </c>
      <c r="R89" s="92"/>
      <c r="S89" s="92"/>
      <c r="T89" s="92"/>
      <c r="U89" s="2"/>
    </row>
    <row r="90" spans="1:21" x14ac:dyDescent="0.25">
      <c r="A90" s="280"/>
      <c r="B90" s="89">
        <v>10</v>
      </c>
      <c r="C90" s="89">
        <v>10</v>
      </c>
      <c r="D90" s="89">
        <v>10</v>
      </c>
      <c r="E90" s="89">
        <v>10</v>
      </c>
      <c r="F90" s="89">
        <v>9.5</v>
      </c>
      <c r="G90" s="89">
        <v>10</v>
      </c>
      <c r="H90" s="89">
        <v>8</v>
      </c>
      <c r="I90" s="89">
        <v>10</v>
      </c>
      <c r="J90" s="147">
        <v>9</v>
      </c>
      <c r="L90" s="3">
        <v>5</v>
      </c>
      <c r="M90" s="92"/>
      <c r="N90" s="92"/>
      <c r="O90" s="92"/>
      <c r="P90" s="92"/>
      <c r="Q90" s="91">
        <v>0</v>
      </c>
      <c r="R90" s="92"/>
      <c r="S90" s="92"/>
      <c r="T90" s="92"/>
      <c r="U90" s="2"/>
    </row>
    <row r="91" spans="1:21" x14ac:dyDescent="0.25">
      <c r="A91" s="280"/>
      <c r="B91" s="89">
        <v>10</v>
      </c>
      <c r="C91" s="89">
        <v>10</v>
      </c>
      <c r="D91" s="89">
        <v>10</v>
      </c>
      <c r="E91" s="89">
        <v>10</v>
      </c>
      <c r="F91" s="89">
        <v>10</v>
      </c>
      <c r="G91" s="89">
        <v>10</v>
      </c>
      <c r="H91" s="89">
        <v>8</v>
      </c>
      <c r="I91" s="89">
        <v>10</v>
      </c>
      <c r="J91" s="147">
        <v>9</v>
      </c>
      <c r="L91" s="3">
        <v>5</v>
      </c>
      <c r="M91" s="92"/>
      <c r="N91" s="92"/>
      <c r="O91" s="92"/>
      <c r="P91" s="92"/>
      <c r="Q91" s="91">
        <v>0</v>
      </c>
      <c r="R91" s="92"/>
      <c r="S91" s="92"/>
      <c r="T91" s="92"/>
      <c r="U91" s="2"/>
    </row>
    <row r="92" spans="1:21" x14ac:dyDescent="0.25">
      <c r="A92" s="280"/>
      <c r="B92" s="89">
        <v>10</v>
      </c>
      <c r="C92" s="89">
        <v>10</v>
      </c>
      <c r="D92" s="89">
        <v>10</v>
      </c>
      <c r="E92" s="89">
        <v>10</v>
      </c>
      <c r="F92" s="89">
        <v>10</v>
      </c>
      <c r="G92" s="89">
        <v>10</v>
      </c>
      <c r="H92" s="89">
        <v>8</v>
      </c>
      <c r="I92" s="89">
        <v>10</v>
      </c>
      <c r="J92" s="147">
        <v>9</v>
      </c>
      <c r="L92" s="3">
        <v>5</v>
      </c>
      <c r="M92" s="92"/>
      <c r="N92" s="92"/>
      <c r="O92" s="92"/>
      <c r="P92" s="92"/>
      <c r="Q92" s="91">
        <v>0</v>
      </c>
      <c r="R92" s="92"/>
      <c r="S92" s="92"/>
      <c r="T92" s="92"/>
      <c r="U92" s="2"/>
    </row>
    <row r="93" spans="1:21" x14ac:dyDescent="0.25">
      <c r="A93" s="280"/>
      <c r="B93" s="89">
        <v>10</v>
      </c>
      <c r="C93" s="89">
        <v>10</v>
      </c>
      <c r="D93" s="89">
        <v>10</v>
      </c>
      <c r="E93" s="89">
        <v>10</v>
      </c>
      <c r="F93" s="89">
        <v>10</v>
      </c>
      <c r="G93" s="89">
        <v>10</v>
      </c>
      <c r="H93" s="89">
        <v>8</v>
      </c>
      <c r="I93" s="89">
        <v>10</v>
      </c>
      <c r="J93" s="147">
        <v>10</v>
      </c>
      <c r="L93" s="3">
        <v>5</v>
      </c>
      <c r="M93" s="92"/>
      <c r="N93" s="92"/>
      <c r="O93" s="92"/>
      <c r="P93" s="92"/>
      <c r="Q93" s="91">
        <v>0</v>
      </c>
      <c r="R93" s="92"/>
      <c r="S93" s="92"/>
      <c r="T93" s="92"/>
      <c r="U93" s="2"/>
    </row>
    <row r="94" spans="1:21" x14ac:dyDescent="0.25">
      <c r="A94" s="280"/>
      <c r="B94" s="89">
        <v>10</v>
      </c>
      <c r="C94" s="89">
        <v>10</v>
      </c>
      <c r="D94" s="89">
        <v>10</v>
      </c>
      <c r="E94" s="89">
        <v>10</v>
      </c>
      <c r="F94" s="89">
        <v>10</v>
      </c>
      <c r="G94" s="89">
        <v>10</v>
      </c>
      <c r="H94" s="89">
        <v>8</v>
      </c>
      <c r="I94" s="89">
        <v>10</v>
      </c>
      <c r="J94" s="147">
        <v>10</v>
      </c>
      <c r="L94" s="3">
        <v>5</v>
      </c>
      <c r="M94" s="92"/>
      <c r="N94" s="92"/>
      <c r="O94" s="92"/>
      <c r="P94" s="92"/>
      <c r="Q94" s="91">
        <v>0</v>
      </c>
      <c r="R94" s="92"/>
      <c r="S94" s="92"/>
      <c r="T94" s="92"/>
      <c r="U94" s="2"/>
    </row>
    <row r="95" spans="1:21" x14ac:dyDescent="0.25">
      <c r="A95" s="280"/>
      <c r="B95" s="89">
        <v>10</v>
      </c>
      <c r="C95" s="89">
        <v>10</v>
      </c>
      <c r="D95" s="89">
        <v>10</v>
      </c>
      <c r="E95" s="89">
        <v>10</v>
      </c>
      <c r="F95" s="89">
        <v>10</v>
      </c>
      <c r="G95" s="89">
        <v>10</v>
      </c>
      <c r="H95" s="89">
        <v>8</v>
      </c>
      <c r="I95" s="89">
        <v>10</v>
      </c>
      <c r="J95" s="147">
        <v>10</v>
      </c>
      <c r="L95" s="3">
        <v>5</v>
      </c>
      <c r="M95" s="92"/>
      <c r="N95" s="92"/>
      <c r="O95" s="92"/>
      <c r="P95" s="92"/>
      <c r="Q95" s="91">
        <v>0</v>
      </c>
      <c r="R95" s="92"/>
      <c r="S95" s="92"/>
      <c r="T95" s="92"/>
      <c r="U95" s="2"/>
    </row>
    <row r="96" spans="1:21" x14ac:dyDescent="0.25">
      <c r="A96" s="280"/>
      <c r="B96" s="89">
        <v>10</v>
      </c>
      <c r="C96" s="89">
        <v>10</v>
      </c>
      <c r="D96" s="89">
        <v>10</v>
      </c>
      <c r="E96" s="89">
        <v>10</v>
      </c>
      <c r="F96" s="89">
        <v>10</v>
      </c>
      <c r="G96" s="89">
        <v>10</v>
      </c>
      <c r="H96" s="89">
        <v>8</v>
      </c>
      <c r="I96" s="89">
        <v>10</v>
      </c>
      <c r="J96" s="147">
        <v>10</v>
      </c>
      <c r="L96" s="3">
        <v>5</v>
      </c>
      <c r="M96" s="92"/>
      <c r="N96" s="92"/>
      <c r="O96" s="92"/>
      <c r="P96" s="92"/>
      <c r="Q96" s="91">
        <v>0</v>
      </c>
      <c r="R96" s="92"/>
      <c r="S96" s="92"/>
      <c r="T96" s="92"/>
      <c r="U96" s="2"/>
    </row>
    <row r="97" spans="1:21" x14ac:dyDescent="0.25">
      <c r="A97" s="280"/>
      <c r="B97" s="89">
        <v>10</v>
      </c>
      <c r="C97" s="89">
        <v>10</v>
      </c>
      <c r="D97" s="89">
        <v>0</v>
      </c>
      <c r="E97" s="89">
        <v>9</v>
      </c>
      <c r="F97" s="89">
        <v>9.5</v>
      </c>
      <c r="G97" s="89">
        <v>0</v>
      </c>
      <c r="H97" s="89">
        <v>8</v>
      </c>
      <c r="I97" s="89">
        <v>0</v>
      </c>
      <c r="J97" s="147">
        <v>0</v>
      </c>
      <c r="L97" s="3">
        <v>5</v>
      </c>
      <c r="M97" s="92"/>
      <c r="N97" s="92"/>
      <c r="O97" s="92"/>
      <c r="P97" s="92"/>
      <c r="Q97" s="91">
        <v>0</v>
      </c>
      <c r="R97" s="92"/>
      <c r="S97" s="92"/>
      <c r="T97" s="92"/>
      <c r="U97" s="2"/>
    </row>
    <row r="98" spans="1:21" x14ac:dyDescent="0.25">
      <c r="A98" s="280"/>
      <c r="B98" s="89">
        <v>10</v>
      </c>
      <c r="C98" s="89">
        <v>10</v>
      </c>
      <c r="D98" s="89">
        <v>10</v>
      </c>
      <c r="E98" s="89">
        <v>9</v>
      </c>
      <c r="F98" s="89">
        <v>9.5</v>
      </c>
      <c r="G98" s="89">
        <v>10</v>
      </c>
      <c r="H98" s="89">
        <v>8</v>
      </c>
      <c r="I98" s="89">
        <v>9</v>
      </c>
      <c r="J98" s="147">
        <v>8</v>
      </c>
      <c r="L98" s="3">
        <v>5</v>
      </c>
      <c r="M98" s="92"/>
      <c r="N98" s="92"/>
      <c r="O98" s="92"/>
      <c r="P98" s="92"/>
      <c r="Q98" s="91">
        <v>0</v>
      </c>
      <c r="R98" s="92"/>
      <c r="S98" s="92"/>
      <c r="T98" s="92"/>
      <c r="U98" s="2"/>
    </row>
    <row r="99" spans="1:21" x14ac:dyDescent="0.25">
      <c r="A99" s="280"/>
      <c r="B99" s="89">
        <v>10</v>
      </c>
      <c r="C99" s="89">
        <v>10</v>
      </c>
      <c r="D99" s="89">
        <v>10</v>
      </c>
      <c r="E99" s="89">
        <v>10</v>
      </c>
      <c r="F99" s="89">
        <v>9.5</v>
      </c>
      <c r="G99" s="89">
        <v>10</v>
      </c>
      <c r="H99" s="89">
        <v>8</v>
      </c>
      <c r="I99" s="89">
        <v>8.5</v>
      </c>
      <c r="J99" s="147">
        <v>8</v>
      </c>
      <c r="L99" s="3">
        <v>5</v>
      </c>
      <c r="M99" s="92"/>
      <c r="N99" s="92"/>
      <c r="O99" s="92"/>
      <c r="P99" s="92"/>
      <c r="Q99" s="91">
        <v>0</v>
      </c>
      <c r="R99" s="92"/>
      <c r="S99" s="92"/>
      <c r="T99" s="92"/>
      <c r="U99" s="2"/>
    </row>
    <row r="100" spans="1:21" x14ac:dyDescent="0.25">
      <c r="A100" s="280"/>
      <c r="B100" s="89">
        <v>10</v>
      </c>
      <c r="C100" s="89">
        <v>10</v>
      </c>
      <c r="D100" s="89">
        <v>10</v>
      </c>
      <c r="E100" s="89">
        <v>10</v>
      </c>
      <c r="F100" s="89">
        <v>9.5</v>
      </c>
      <c r="G100" s="89">
        <v>10</v>
      </c>
      <c r="H100" s="89">
        <v>8</v>
      </c>
      <c r="I100" s="89">
        <v>10</v>
      </c>
      <c r="J100" s="147">
        <v>9</v>
      </c>
      <c r="L100" s="3">
        <v>5</v>
      </c>
      <c r="M100" s="92"/>
      <c r="N100" s="92"/>
      <c r="O100" s="92"/>
      <c r="P100" s="92"/>
      <c r="Q100" s="91">
        <v>0</v>
      </c>
      <c r="R100" s="92"/>
      <c r="S100" s="92"/>
      <c r="T100" s="92"/>
      <c r="U100" s="2"/>
    </row>
    <row r="101" spans="1:21" x14ac:dyDescent="0.25">
      <c r="A101" s="280"/>
      <c r="B101" s="89">
        <v>10</v>
      </c>
      <c r="C101" s="89">
        <v>10</v>
      </c>
      <c r="D101" s="89">
        <v>10</v>
      </c>
      <c r="E101" s="89">
        <v>10</v>
      </c>
      <c r="F101" s="89">
        <v>10</v>
      </c>
      <c r="G101" s="89">
        <v>10</v>
      </c>
      <c r="H101" s="89">
        <v>8</v>
      </c>
      <c r="I101" s="89">
        <v>10</v>
      </c>
      <c r="J101" s="147">
        <v>9</v>
      </c>
      <c r="L101" s="3">
        <v>5</v>
      </c>
      <c r="M101" s="92"/>
      <c r="N101" s="92"/>
      <c r="O101" s="92"/>
      <c r="P101" s="92"/>
      <c r="Q101" s="91">
        <v>0</v>
      </c>
      <c r="R101" s="92"/>
      <c r="S101" s="92"/>
      <c r="T101" s="92"/>
      <c r="U101" s="2"/>
    </row>
    <row r="102" spans="1:21" x14ac:dyDescent="0.25">
      <c r="A102" s="280"/>
      <c r="B102" s="89">
        <v>10</v>
      </c>
      <c r="C102" s="89">
        <v>10</v>
      </c>
      <c r="D102" s="89">
        <v>10</v>
      </c>
      <c r="E102" s="89">
        <v>10</v>
      </c>
      <c r="F102" s="89">
        <v>10</v>
      </c>
      <c r="G102" s="89">
        <v>10</v>
      </c>
      <c r="H102" s="89">
        <v>8</v>
      </c>
      <c r="I102" s="89">
        <v>10</v>
      </c>
      <c r="J102" s="147">
        <v>9</v>
      </c>
      <c r="L102" s="3">
        <v>5</v>
      </c>
      <c r="M102" s="92"/>
      <c r="N102" s="92"/>
      <c r="O102" s="92"/>
      <c r="P102" s="92"/>
      <c r="Q102" s="91">
        <v>0</v>
      </c>
      <c r="R102" s="92"/>
      <c r="S102" s="92"/>
      <c r="T102" s="92"/>
      <c r="U102" s="2"/>
    </row>
    <row r="103" spans="1:21" x14ac:dyDescent="0.25">
      <c r="A103" s="280"/>
      <c r="B103" s="89">
        <v>10</v>
      </c>
      <c r="C103" s="89">
        <v>10</v>
      </c>
      <c r="D103" s="89">
        <v>10</v>
      </c>
      <c r="E103" s="89">
        <v>10</v>
      </c>
      <c r="F103" s="89">
        <v>10</v>
      </c>
      <c r="G103" s="89">
        <v>10</v>
      </c>
      <c r="H103" s="89">
        <v>8</v>
      </c>
      <c r="I103" s="89">
        <v>10</v>
      </c>
      <c r="J103" s="147">
        <v>10</v>
      </c>
      <c r="L103" s="3">
        <v>5</v>
      </c>
      <c r="M103" s="92"/>
      <c r="N103" s="92"/>
      <c r="O103" s="92"/>
      <c r="P103" s="92"/>
      <c r="Q103" s="91">
        <v>0</v>
      </c>
      <c r="R103" s="92"/>
      <c r="S103" s="92"/>
      <c r="T103" s="92"/>
      <c r="U103" s="2"/>
    </row>
    <row r="104" spans="1:21" x14ac:dyDescent="0.25">
      <c r="A104" s="280"/>
      <c r="B104" s="89">
        <v>10</v>
      </c>
      <c r="C104" s="89">
        <v>10</v>
      </c>
      <c r="D104" s="89">
        <v>10</v>
      </c>
      <c r="E104" s="89">
        <v>10</v>
      </c>
      <c r="F104" s="89">
        <v>10</v>
      </c>
      <c r="G104" s="89">
        <v>10</v>
      </c>
      <c r="H104" s="89">
        <v>8</v>
      </c>
      <c r="I104" s="89">
        <v>10</v>
      </c>
      <c r="J104" s="147">
        <v>10</v>
      </c>
      <c r="L104" s="3">
        <v>5</v>
      </c>
      <c r="M104" s="92"/>
      <c r="N104" s="92"/>
      <c r="O104" s="92"/>
      <c r="P104" s="92"/>
      <c r="Q104" s="91">
        <v>0</v>
      </c>
      <c r="R104" s="92"/>
      <c r="S104" s="92"/>
      <c r="T104" s="92"/>
      <c r="U104" s="2"/>
    </row>
    <row r="105" spans="1:21" x14ac:dyDescent="0.25">
      <c r="A105" s="280"/>
      <c r="B105" s="89">
        <v>10</v>
      </c>
      <c r="C105" s="89">
        <v>10</v>
      </c>
      <c r="D105" s="89">
        <v>10</v>
      </c>
      <c r="E105" s="89">
        <v>10</v>
      </c>
      <c r="F105" s="89">
        <v>10</v>
      </c>
      <c r="G105" s="89">
        <v>10</v>
      </c>
      <c r="H105" s="89">
        <v>8</v>
      </c>
      <c r="I105" s="89">
        <v>10</v>
      </c>
      <c r="J105" s="147">
        <v>10</v>
      </c>
      <c r="L105" s="3">
        <v>3</v>
      </c>
      <c r="M105" s="92"/>
      <c r="N105" s="92"/>
      <c r="O105" s="92"/>
      <c r="P105" s="92"/>
      <c r="Q105" s="92"/>
      <c r="R105" s="91">
        <v>1</v>
      </c>
      <c r="S105" s="92"/>
      <c r="T105" s="92"/>
      <c r="U105" s="2"/>
    </row>
    <row r="106" spans="1:21" x14ac:dyDescent="0.25">
      <c r="A106" s="280"/>
      <c r="B106" s="89">
        <v>10</v>
      </c>
      <c r="C106" s="89">
        <v>10</v>
      </c>
      <c r="D106" s="89">
        <v>10</v>
      </c>
      <c r="E106" s="89">
        <v>10</v>
      </c>
      <c r="F106" s="89">
        <v>10</v>
      </c>
      <c r="G106" s="89">
        <v>10</v>
      </c>
      <c r="H106" s="89">
        <v>8</v>
      </c>
      <c r="I106" s="89">
        <v>10</v>
      </c>
      <c r="J106" s="147">
        <v>10</v>
      </c>
      <c r="L106" s="3">
        <v>3</v>
      </c>
      <c r="M106" s="92"/>
      <c r="N106" s="92"/>
      <c r="O106" s="92"/>
      <c r="P106" s="92"/>
      <c r="Q106" s="92"/>
      <c r="R106" s="91">
        <v>1</v>
      </c>
      <c r="S106" s="92"/>
      <c r="T106" s="92"/>
      <c r="U106" s="2"/>
    </row>
    <row r="107" spans="1:21" x14ac:dyDescent="0.25">
      <c r="A107" s="281"/>
      <c r="B107" s="150"/>
      <c r="C107" s="150"/>
      <c r="D107" s="150"/>
      <c r="E107" s="150"/>
      <c r="F107" s="150"/>
      <c r="G107" s="150"/>
      <c r="H107" s="150"/>
      <c r="I107" s="150"/>
      <c r="J107" s="151"/>
      <c r="L107" s="3">
        <v>5</v>
      </c>
      <c r="M107" s="92"/>
      <c r="N107" s="92"/>
      <c r="O107" s="92"/>
      <c r="P107" s="92"/>
      <c r="Q107" s="92"/>
      <c r="R107" s="91">
        <v>0</v>
      </c>
      <c r="S107" s="92"/>
      <c r="T107" s="92"/>
      <c r="U107" s="2"/>
    </row>
    <row r="108" spans="1:21" x14ac:dyDescent="0.25">
      <c r="A108" s="279" t="s">
        <v>92</v>
      </c>
      <c r="B108" s="145">
        <v>9</v>
      </c>
      <c r="C108" s="145">
        <v>9</v>
      </c>
      <c r="D108" s="145">
        <v>0</v>
      </c>
      <c r="E108" s="145">
        <v>8</v>
      </c>
      <c r="F108" s="145">
        <v>7</v>
      </c>
      <c r="G108" s="145">
        <v>0</v>
      </c>
      <c r="H108" s="145">
        <v>7</v>
      </c>
      <c r="I108" s="145">
        <v>0</v>
      </c>
      <c r="J108" s="146">
        <v>0</v>
      </c>
      <c r="L108" s="3">
        <v>5</v>
      </c>
      <c r="M108" s="92"/>
      <c r="N108" s="92"/>
      <c r="O108" s="92"/>
      <c r="P108" s="92"/>
      <c r="Q108" s="92"/>
      <c r="R108" s="91">
        <v>0</v>
      </c>
      <c r="S108" s="92"/>
      <c r="T108" s="92"/>
      <c r="U108" s="2"/>
    </row>
    <row r="109" spans="1:21" x14ac:dyDescent="0.25">
      <c r="A109" s="280"/>
      <c r="B109" s="89">
        <v>9</v>
      </c>
      <c r="C109" s="89">
        <v>9</v>
      </c>
      <c r="D109" s="89">
        <v>8</v>
      </c>
      <c r="E109" s="89">
        <v>8</v>
      </c>
      <c r="F109" s="89">
        <v>9</v>
      </c>
      <c r="G109" s="89">
        <v>9</v>
      </c>
      <c r="H109" s="89">
        <v>7</v>
      </c>
      <c r="I109" s="89">
        <v>8</v>
      </c>
      <c r="J109" s="147">
        <v>0</v>
      </c>
      <c r="L109" s="3">
        <v>5</v>
      </c>
      <c r="M109" s="92"/>
      <c r="N109" s="92"/>
      <c r="O109" s="92"/>
      <c r="P109" s="92"/>
      <c r="Q109" s="92"/>
      <c r="R109" s="91">
        <v>0</v>
      </c>
      <c r="S109" s="92"/>
      <c r="T109" s="92"/>
      <c r="U109" s="2"/>
    </row>
    <row r="110" spans="1:21" x14ac:dyDescent="0.25">
      <c r="A110" s="280"/>
      <c r="B110" s="89">
        <v>9</v>
      </c>
      <c r="C110" s="89">
        <v>9</v>
      </c>
      <c r="D110" s="89">
        <v>8</v>
      </c>
      <c r="E110" s="89">
        <v>8</v>
      </c>
      <c r="F110" s="89">
        <v>9</v>
      </c>
      <c r="G110" s="89">
        <v>9</v>
      </c>
      <c r="H110" s="89">
        <v>7</v>
      </c>
      <c r="I110" s="89">
        <v>8</v>
      </c>
      <c r="J110" s="147">
        <v>9</v>
      </c>
      <c r="L110" s="3">
        <v>5</v>
      </c>
      <c r="M110" s="92"/>
      <c r="N110" s="92"/>
      <c r="O110" s="92"/>
      <c r="P110" s="92"/>
      <c r="Q110" s="92"/>
      <c r="R110" s="91">
        <v>0</v>
      </c>
      <c r="S110" s="92"/>
      <c r="T110" s="92"/>
      <c r="U110" s="2"/>
    </row>
    <row r="111" spans="1:21" x14ac:dyDescent="0.25">
      <c r="A111" s="280"/>
      <c r="B111" s="89">
        <v>9</v>
      </c>
      <c r="C111" s="89">
        <v>9</v>
      </c>
      <c r="D111" s="89">
        <v>8</v>
      </c>
      <c r="E111" s="89">
        <v>9</v>
      </c>
      <c r="F111" s="89">
        <v>10</v>
      </c>
      <c r="G111" s="89">
        <v>9</v>
      </c>
      <c r="H111" s="89">
        <v>7</v>
      </c>
      <c r="I111" s="89">
        <v>8</v>
      </c>
      <c r="J111" s="147">
        <v>9</v>
      </c>
      <c r="L111" s="3">
        <v>5</v>
      </c>
      <c r="M111" s="92"/>
      <c r="N111" s="92"/>
      <c r="O111" s="92"/>
      <c r="P111" s="92"/>
      <c r="Q111" s="92"/>
      <c r="R111" s="91">
        <v>0</v>
      </c>
      <c r="S111" s="92"/>
      <c r="T111" s="92"/>
      <c r="U111" s="2"/>
    </row>
    <row r="112" spans="1:21" x14ac:dyDescent="0.25">
      <c r="A112" s="280"/>
      <c r="B112" s="89">
        <v>9</v>
      </c>
      <c r="C112" s="89">
        <v>9</v>
      </c>
      <c r="D112" s="89">
        <v>10</v>
      </c>
      <c r="E112" s="89">
        <v>9</v>
      </c>
      <c r="F112" s="89">
        <v>10</v>
      </c>
      <c r="G112" s="89">
        <v>9</v>
      </c>
      <c r="H112" s="89">
        <v>7</v>
      </c>
      <c r="I112" s="89">
        <v>8</v>
      </c>
      <c r="J112" s="147">
        <v>9</v>
      </c>
      <c r="L112" s="3">
        <v>5</v>
      </c>
      <c r="M112" s="92"/>
      <c r="N112" s="92"/>
      <c r="O112" s="92"/>
      <c r="P112" s="92"/>
      <c r="Q112" s="92"/>
      <c r="R112" s="91">
        <v>0</v>
      </c>
      <c r="S112" s="92"/>
      <c r="T112" s="92"/>
      <c r="U112" s="2"/>
    </row>
    <row r="113" spans="1:21" x14ac:dyDescent="0.25">
      <c r="A113" s="280"/>
      <c r="B113" s="89">
        <v>9</v>
      </c>
      <c r="C113" s="89">
        <v>9</v>
      </c>
      <c r="D113" s="89">
        <v>10</v>
      </c>
      <c r="E113" s="89">
        <v>9</v>
      </c>
      <c r="F113" s="89">
        <v>10</v>
      </c>
      <c r="G113" s="89">
        <v>9</v>
      </c>
      <c r="H113" s="89">
        <v>7</v>
      </c>
      <c r="I113" s="89">
        <v>8</v>
      </c>
      <c r="J113" s="147">
        <v>9</v>
      </c>
      <c r="L113" s="3">
        <v>5</v>
      </c>
      <c r="M113" s="92"/>
      <c r="N113" s="92"/>
      <c r="O113" s="92"/>
      <c r="P113" s="92"/>
      <c r="Q113" s="92"/>
      <c r="R113" s="91">
        <v>0</v>
      </c>
      <c r="S113" s="92"/>
      <c r="T113" s="92"/>
      <c r="U113" s="2"/>
    </row>
    <row r="114" spans="1:21" x14ac:dyDescent="0.25">
      <c r="A114" s="280"/>
      <c r="B114" s="89">
        <v>9</v>
      </c>
      <c r="C114" s="89">
        <v>9</v>
      </c>
      <c r="D114" s="89">
        <v>10</v>
      </c>
      <c r="E114" s="89">
        <v>9</v>
      </c>
      <c r="F114" s="89">
        <v>10</v>
      </c>
      <c r="G114" s="89">
        <v>9</v>
      </c>
      <c r="H114" s="89">
        <v>7</v>
      </c>
      <c r="I114" s="89">
        <v>8</v>
      </c>
      <c r="J114" s="147">
        <v>9</v>
      </c>
      <c r="L114" s="3">
        <v>5</v>
      </c>
      <c r="M114" s="92"/>
      <c r="N114" s="92"/>
      <c r="O114" s="92"/>
      <c r="P114" s="92"/>
      <c r="Q114" s="92"/>
      <c r="R114" s="91">
        <v>0</v>
      </c>
      <c r="S114" s="92"/>
      <c r="T114" s="92"/>
      <c r="U114" s="2"/>
    </row>
    <row r="115" spans="1:21" x14ac:dyDescent="0.25">
      <c r="A115" s="280"/>
      <c r="B115" s="89">
        <v>9</v>
      </c>
      <c r="C115" s="89">
        <v>9</v>
      </c>
      <c r="D115" s="89">
        <v>10</v>
      </c>
      <c r="E115" s="89">
        <v>9</v>
      </c>
      <c r="F115" s="89">
        <v>10</v>
      </c>
      <c r="G115" s="89">
        <v>9</v>
      </c>
      <c r="H115" s="89">
        <v>7</v>
      </c>
      <c r="I115" s="89">
        <v>8</v>
      </c>
      <c r="J115" s="147">
        <v>9</v>
      </c>
      <c r="L115" s="3">
        <v>5</v>
      </c>
      <c r="M115" s="92"/>
      <c r="N115" s="92"/>
      <c r="O115" s="92"/>
      <c r="P115" s="92"/>
      <c r="Q115" s="92"/>
      <c r="R115" s="91">
        <v>0</v>
      </c>
      <c r="S115" s="92"/>
      <c r="T115" s="92"/>
      <c r="U115" s="2"/>
    </row>
    <row r="116" spans="1:21" x14ac:dyDescent="0.25">
      <c r="A116" s="280"/>
      <c r="B116" s="89">
        <v>9</v>
      </c>
      <c r="C116" s="89">
        <v>9</v>
      </c>
      <c r="D116" s="89">
        <v>10</v>
      </c>
      <c r="E116" s="89">
        <v>9</v>
      </c>
      <c r="F116" s="89">
        <v>10</v>
      </c>
      <c r="G116" s="89">
        <v>9</v>
      </c>
      <c r="H116" s="89">
        <v>7</v>
      </c>
      <c r="I116" s="89">
        <v>8</v>
      </c>
      <c r="J116" s="147">
        <v>9</v>
      </c>
      <c r="L116" s="3">
        <v>5</v>
      </c>
      <c r="M116" s="92"/>
      <c r="N116" s="92"/>
      <c r="O116" s="92"/>
      <c r="P116" s="92"/>
      <c r="Q116" s="92"/>
      <c r="R116" s="91">
        <v>0</v>
      </c>
      <c r="S116" s="92"/>
      <c r="T116" s="92"/>
      <c r="U116" s="2"/>
    </row>
    <row r="117" spans="1:21" x14ac:dyDescent="0.25">
      <c r="A117" s="280"/>
      <c r="B117" s="89">
        <v>9</v>
      </c>
      <c r="C117" s="89">
        <v>9</v>
      </c>
      <c r="D117" s="89">
        <v>10</v>
      </c>
      <c r="E117" s="89">
        <v>9</v>
      </c>
      <c r="F117" s="89">
        <v>10</v>
      </c>
      <c r="G117" s="89">
        <v>9</v>
      </c>
      <c r="H117" s="89">
        <v>7</v>
      </c>
      <c r="I117" s="89">
        <v>8</v>
      </c>
      <c r="J117" s="147">
        <v>9</v>
      </c>
      <c r="L117" s="3">
        <v>5</v>
      </c>
      <c r="M117" s="92"/>
      <c r="N117" s="92"/>
      <c r="O117" s="92"/>
      <c r="P117" s="92"/>
      <c r="Q117" s="92"/>
      <c r="R117" s="91">
        <v>0</v>
      </c>
      <c r="S117" s="92"/>
      <c r="T117" s="92"/>
      <c r="U117" s="2"/>
    </row>
    <row r="118" spans="1:21" x14ac:dyDescent="0.25">
      <c r="A118" s="280"/>
      <c r="B118" s="89">
        <v>9</v>
      </c>
      <c r="C118" s="89">
        <v>9</v>
      </c>
      <c r="D118" s="89">
        <v>0</v>
      </c>
      <c r="E118" s="89">
        <v>8</v>
      </c>
      <c r="F118" s="89">
        <v>7</v>
      </c>
      <c r="G118" s="89">
        <v>0</v>
      </c>
      <c r="H118" s="89">
        <v>7</v>
      </c>
      <c r="I118" s="89">
        <v>0</v>
      </c>
      <c r="J118" s="147">
        <v>0</v>
      </c>
      <c r="L118" s="3">
        <v>5</v>
      </c>
      <c r="M118" s="92"/>
      <c r="N118" s="92"/>
      <c r="O118" s="92"/>
      <c r="P118" s="92"/>
      <c r="Q118" s="92"/>
      <c r="R118" s="91">
        <v>0</v>
      </c>
      <c r="S118" s="92"/>
      <c r="T118" s="92"/>
      <c r="U118" s="2"/>
    </row>
    <row r="119" spans="1:21" x14ac:dyDescent="0.25">
      <c r="A119" s="280"/>
      <c r="B119" s="89">
        <v>9</v>
      </c>
      <c r="C119" s="89">
        <v>9</v>
      </c>
      <c r="D119" s="89">
        <v>8</v>
      </c>
      <c r="E119" s="89">
        <v>8</v>
      </c>
      <c r="F119" s="89">
        <v>9</v>
      </c>
      <c r="G119" s="89">
        <v>9</v>
      </c>
      <c r="H119" s="89">
        <v>7</v>
      </c>
      <c r="I119" s="89">
        <v>8</v>
      </c>
      <c r="J119" s="147">
        <v>9</v>
      </c>
      <c r="L119" s="3">
        <v>5</v>
      </c>
      <c r="M119" s="92"/>
      <c r="N119" s="92"/>
      <c r="O119" s="92"/>
      <c r="P119" s="92"/>
      <c r="Q119" s="92"/>
      <c r="R119" s="91">
        <v>0</v>
      </c>
      <c r="S119" s="92"/>
      <c r="T119" s="92"/>
      <c r="U119" s="2"/>
    </row>
    <row r="120" spans="1:21" x14ac:dyDescent="0.25">
      <c r="A120" s="280"/>
      <c r="B120" s="89">
        <v>9</v>
      </c>
      <c r="C120" s="89">
        <v>9</v>
      </c>
      <c r="D120" s="89">
        <v>8</v>
      </c>
      <c r="E120" s="89">
        <v>8</v>
      </c>
      <c r="F120" s="89">
        <v>9</v>
      </c>
      <c r="G120" s="89">
        <v>9</v>
      </c>
      <c r="H120" s="89">
        <v>7</v>
      </c>
      <c r="I120" s="89">
        <v>8</v>
      </c>
      <c r="J120" s="147">
        <v>9</v>
      </c>
      <c r="L120" s="3">
        <v>5</v>
      </c>
      <c r="M120" s="92"/>
      <c r="N120" s="92"/>
      <c r="O120" s="92"/>
      <c r="P120" s="92"/>
      <c r="Q120" s="92"/>
      <c r="R120" s="91">
        <v>0</v>
      </c>
      <c r="S120" s="92"/>
      <c r="T120" s="92"/>
      <c r="U120" s="2"/>
    </row>
    <row r="121" spans="1:21" x14ac:dyDescent="0.25">
      <c r="A121" s="280"/>
      <c r="B121" s="89">
        <v>9</v>
      </c>
      <c r="C121" s="89">
        <v>9</v>
      </c>
      <c r="D121" s="89">
        <v>8</v>
      </c>
      <c r="E121" s="89">
        <v>9</v>
      </c>
      <c r="F121" s="89">
        <v>10</v>
      </c>
      <c r="G121" s="89">
        <v>9</v>
      </c>
      <c r="H121" s="89">
        <v>7</v>
      </c>
      <c r="I121" s="89">
        <v>8</v>
      </c>
      <c r="J121" s="147">
        <v>9</v>
      </c>
      <c r="L121" s="3">
        <v>5</v>
      </c>
      <c r="M121" s="92"/>
      <c r="N121" s="92"/>
      <c r="O121" s="92"/>
      <c r="P121" s="92"/>
      <c r="Q121" s="92"/>
      <c r="R121" s="91">
        <v>0</v>
      </c>
      <c r="S121" s="92"/>
      <c r="T121" s="92"/>
      <c r="U121" s="2"/>
    </row>
    <row r="122" spans="1:21" x14ac:dyDescent="0.25">
      <c r="A122" s="280"/>
      <c r="B122" s="89">
        <v>9</v>
      </c>
      <c r="C122" s="89">
        <v>9</v>
      </c>
      <c r="D122" s="89">
        <v>10</v>
      </c>
      <c r="E122" s="89">
        <v>9</v>
      </c>
      <c r="F122" s="89">
        <v>10</v>
      </c>
      <c r="G122" s="89">
        <v>9</v>
      </c>
      <c r="H122" s="89">
        <v>7</v>
      </c>
      <c r="I122" s="89">
        <v>8</v>
      </c>
      <c r="J122" s="147">
        <v>9</v>
      </c>
      <c r="L122" s="3">
        <v>5</v>
      </c>
      <c r="M122" s="92"/>
      <c r="N122" s="92"/>
      <c r="O122" s="92"/>
      <c r="P122" s="92"/>
      <c r="Q122" s="92"/>
      <c r="R122" s="91">
        <v>0</v>
      </c>
      <c r="S122" s="92"/>
      <c r="T122" s="92"/>
      <c r="U122" s="2"/>
    </row>
    <row r="123" spans="1:21" x14ac:dyDescent="0.25">
      <c r="A123" s="280"/>
      <c r="B123" s="89">
        <v>9</v>
      </c>
      <c r="C123" s="89">
        <v>9</v>
      </c>
      <c r="D123" s="89">
        <v>10</v>
      </c>
      <c r="E123" s="89">
        <v>9</v>
      </c>
      <c r="F123" s="89">
        <v>10</v>
      </c>
      <c r="G123" s="89">
        <v>9</v>
      </c>
      <c r="H123" s="89">
        <v>7</v>
      </c>
      <c r="I123" s="89">
        <v>8</v>
      </c>
      <c r="J123" s="147">
        <v>9</v>
      </c>
      <c r="L123" s="3">
        <v>5</v>
      </c>
      <c r="M123" s="92"/>
      <c r="N123" s="92"/>
      <c r="O123" s="92"/>
      <c r="P123" s="92"/>
      <c r="Q123" s="92"/>
      <c r="R123" s="91">
        <v>0</v>
      </c>
      <c r="S123" s="92"/>
      <c r="T123" s="92"/>
      <c r="U123" s="2"/>
    </row>
    <row r="124" spans="1:21" x14ac:dyDescent="0.25">
      <c r="A124" s="280"/>
      <c r="B124" s="89">
        <v>9</v>
      </c>
      <c r="C124" s="89">
        <v>9</v>
      </c>
      <c r="D124" s="89">
        <v>10</v>
      </c>
      <c r="E124" s="89">
        <v>9</v>
      </c>
      <c r="F124" s="89">
        <v>10</v>
      </c>
      <c r="G124" s="89">
        <v>9</v>
      </c>
      <c r="H124" s="89">
        <v>7</v>
      </c>
      <c r="I124" s="89">
        <v>8</v>
      </c>
      <c r="J124" s="147">
        <v>9</v>
      </c>
      <c r="L124" s="3">
        <v>5</v>
      </c>
      <c r="M124" s="92"/>
      <c r="N124" s="92"/>
      <c r="O124" s="92"/>
      <c r="P124" s="92"/>
      <c r="Q124" s="92"/>
      <c r="R124" s="91">
        <v>0</v>
      </c>
      <c r="S124" s="92"/>
      <c r="T124" s="92"/>
      <c r="U124" s="2"/>
    </row>
    <row r="125" spans="1:21" x14ac:dyDescent="0.25">
      <c r="A125" s="280"/>
      <c r="B125" s="89">
        <v>9</v>
      </c>
      <c r="C125" s="89">
        <v>9</v>
      </c>
      <c r="D125" s="89">
        <v>10</v>
      </c>
      <c r="E125" s="89">
        <v>9</v>
      </c>
      <c r="F125" s="89">
        <v>10</v>
      </c>
      <c r="G125" s="89">
        <v>9</v>
      </c>
      <c r="H125" s="89">
        <v>7</v>
      </c>
      <c r="I125" s="89">
        <v>8</v>
      </c>
      <c r="J125" s="147">
        <v>9</v>
      </c>
      <c r="L125" s="3">
        <v>5</v>
      </c>
      <c r="M125" s="92"/>
      <c r="N125" s="92"/>
      <c r="O125" s="92"/>
      <c r="P125" s="92"/>
      <c r="Q125" s="92"/>
      <c r="R125" s="92"/>
      <c r="S125" s="91">
        <v>0</v>
      </c>
      <c r="T125" s="92"/>
      <c r="U125" s="2"/>
    </row>
    <row r="126" spans="1:21" x14ac:dyDescent="0.25">
      <c r="A126" s="280"/>
      <c r="B126" s="89">
        <v>9</v>
      </c>
      <c r="C126" s="89">
        <v>9</v>
      </c>
      <c r="D126" s="89">
        <v>10</v>
      </c>
      <c r="E126" s="89">
        <v>9</v>
      </c>
      <c r="F126" s="89">
        <v>10</v>
      </c>
      <c r="G126" s="89">
        <v>9</v>
      </c>
      <c r="H126" s="89">
        <v>7</v>
      </c>
      <c r="I126" s="89">
        <v>8</v>
      </c>
      <c r="J126" s="147">
        <v>9</v>
      </c>
      <c r="L126" s="3">
        <v>5</v>
      </c>
      <c r="M126" s="92"/>
      <c r="N126" s="92"/>
      <c r="O126" s="92"/>
      <c r="P126" s="92"/>
      <c r="Q126" s="92"/>
      <c r="R126" s="92"/>
      <c r="S126" s="91">
        <v>0</v>
      </c>
      <c r="T126" s="92"/>
      <c r="U126" s="2"/>
    </row>
    <row r="127" spans="1:21" x14ac:dyDescent="0.25">
      <c r="A127" s="280"/>
      <c r="B127" s="89">
        <v>9</v>
      </c>
      <c r="C127" s="89">
        <v>9</v>
      </c>
      <c r="D127" s="89">
        <v>10</v>
      </c>
      <c r="E127" s="89">
        <v>9</v>
      </c>
      <c r="F127" s="89">
        <v>10</v>
      </c>
      <c r="G127" s="89">
        <v>9</v>
      </c>
      <c r="H127" s="89">
        <v>7</v>
      </c>
      <c r="I127" s="89">
        <v>8</v>
      </c>
      <c r="J127" s="147">
        <v>9</v>
      </c>
      <c r="L127" s="3">
        <v>5</v>
      </c>
      <c r="M127" s="92"/>
      <c r="N127" s="92"/>
      <c r="O127" s="92"/>
      <c r="P127" s="92"/>
      <c r="Q127" s="92"/>
      <c r="R127" s="92"/>
      <c r="S127" s="91">
        <v>0</v>
      </c>
      <c r="T127" s="92"/>
      <c r="U127" s="2"/>
    </row>
    <row r="128" spans="1:21" x14ac:dyDescent="0.25">
      <c r="A128" s="281"/>
      <c r="B128" s="150"/>
      <c r="C128" s="150"/>
      <c r="D128" s="150"/>
      <c r="E128" s="150"/>
      <c r="F128" s="150"/>
      <c r="G128" s="150"/>
      <c r="H128" s="150"/>
      <c r="I128" s="150"/>
      <c r="J128" s="151"/>
      <c r="L128" s="3">
        <v>5</v>
      </c>
      <c r="M128" s="92"/>
      <c r="N128" s="92"/>
      <c r="O128" s="92"/>
      <c r="P128" s="92"/>
      <c r="Q128" s="92"/>
      <c r="R128" s="92"/>
      <c r="S128" s="91">
        <v>0</v>
      </c>
      <c r="T128" s="92"/>
      <c r="U128" s="2"/>
    </row>
    <row r="129" spans="1:21" x14ac:dyDescent="0.25">
      <c r="A129" s="279" t="s">
        <v>93</v>
      </c>
      <c r="B129" s="145">
        <v>9</v>
      </c>
      <c r="C129" s="145">
        <v>9</v>
      </c>
      <c r="D129" s="145">
        <v>0</v>
      </c>
      <c r="E129" s="145">
        <v>8</v>
      </c>
      <c r="F129" s="145">
        <v>7</v>
      </c>
      <c r="G129" s="145">
        <v>0</v>
      </c>
      <c r="H129" s="145">
        <v>7</v>
      </c>
      <c r="I129" s="145">
        <v>0</v>
      </c>
      <c r="J129" s="146">
        <v>0</v>
      </c>
      <c r="L129" s="3">
        <v>5</v>
      </c>
      <c r="M129" s="92"/>
      <c r="N129" s="92"/>
      <c r="O129" s="92"/>
      <c r="P129" s="92"/>
      <c r="Q129" s="92"/>
      <c r="R129" s="92"/>
      <c r="S129" s="91">
        <v>0</v>
      </c>
      <c r="T129" s="92"/>
      <c r="U129" s="2"/>
    </row>
    <row r="130" spans="1:21" x14ac:dyDescent="0.25">
      <c r="A130" s="280"/>
      <c r="B130" s="89">
        <v>9</v>
      </c>
      <c r="C130" s="89">
        <v>9</v>
      </c>
      <c r="D130" s="89">
        <v>8</v>
      </c>
      <c r="E130" s="89">
        <v>8</v>
      </c>
      <c r="F130" s="89">
        <v>9</v>
      </c>
      <c r="G130" s="89">
        <v>9</v>
      </c>
      <c r="H130" s="89">
        <v>7</v>
      </c>
      <c r="I130" s="89">
        <v>8</v>
      </c>
      <c r="J130" s="147">
        <v>0</v>
      </c>
      <c r="L130" s="3">
        <v>5</v>
      </c>
      <c r="M130" s="92"/>
      <c r="N130" s="92"/>
      <c r="O130" s="92"/>
      <c r="P130" s="92"/>
      <c r="Q130" s="92"/>
      <c r="R130" s="92"/>
      <c r="S130" s="91">
        <v>0</v>
      </c>
      <c r="T130" s="92"/>
      <c r="U130" s="2"/>
    </row>
    <row r="131" spans="1:21" x14ac:dyDescent="0.25">
      <c r="A131" s="280"/>
      <c r="B131" s="89">
        <v>9</v>
      </c>
      <c r="C131" s="89">
        <v>9</v>
      </c>
      <c r="D131" s="89">
        <v>8</v>
      </c>
      <c r="E131" s="89">
        <v>8</v>
      </c>
      <c r="F131" s="89">
        <v>9</v>
      </c>
      <c r="G131" s="89">
        <v>9</v>
      </c>
      <c r="H131" s="89">
        <v>7</v>
      </c>
      <c r="I131" s="89">
        <v>8</v>
      </c>
      <c r="J131" s="147">
        <v>9</v>
      </c>
      <c r="L131" s="3">
        <v>5</v>
      </c>
      <c r="M131" s="92"/>
      <c r="N131" s="92"/>
      <c r="O131" s="92"/>
      <c r="P131" s="92"/>
      <c r="Q131" s="92"/>
      <c r="R131" s="92"/>
      <c r="S131" s="91">
        <v>0</v>
      </c>
      <c r="T131" s="92"/>
      <c r="U131" s="2"/>
    </row>
    <row r="132" spans="1:21" x14ac:dyDescent="0.25">
      <c r="A132" s="280"/>
      <c r="B132" s="89">
        <v>9</v>
      </c>
      <c r="C132" s="89">
        <v>9</v>
      </c>
      <c r="D132" s="89">
        <v>8</v>
      </c>
      <c r="E132" s="89">
        <v>9</v>
      </c>
      <c r="F132" s="89">
        <v>10</v>
      </c>
      <c r="G132" s="89">
        <v>9</v>
      </c>
      <c r="H132" s="89">
        <v>7</v>
      </c>
      <c r="I132" s="89">
        <v>8</v>
      </c>
      <c r="J132" s="147">
        <v>9</v>
      </c>
      <c r="L132" s="3">
        <v>5</v>
      </c>
      <c r="M132" s="92"/>
      <c r="N132" s="92"/>
      <c r="O132" s="92"/>
      <c r="P132" s="92"/>
      <c r="Q132" s="92"/>
      <c r="R132" s="92"/>
      <c r="S132" s="91">
        <v>0</v>
      </c>
      <c r="T132" s="92"/>
      <c r="U132" s="2"/>
    </row>
    <row r="133" spans="1:21" x14ac:dyDescent="0.25">
      <c r="A133" s="280"/>
      <c r="B133" s="89">
        <v>9</v>
      </c>
      <c r="C133" s="89">
        <v>9</v>
      </c>
      <c r="D133" s="89">
        <v>10</v>
      </c>
      <c r="E133" s="89">
        <v>9</v>
      </c>
      <c r="F133" s="89">
        <v>10</v>
      </c>
      <c r="G133" s="89">
        <v>9</v>
      </c>
      <c r="H133" s="89">
        <v>7</v>
      </c>
      <c r="I133" s="89">
        <v>8</v>
      </c>
      <c r="J133" s="147">
        <v>9</v>
      </c>
      <c r="L133" s="3">
        <v>5</v>
      </c>
      <c r="M133" s="92"/>
      <c r="N133" s="92"/>
      <c r="O133" s="92"/>
      <c r="P133" s="92"/>
      <c r="Q133" s="92"/>
      <c r="R133" s="92"/>
      <c r="S133" s="91">
        <v>0</v>
      </c>
      <c r="T133" s="92"/>
      <c r="U133" s="2"/>
    </row>
    <row r="134" spans="1:21" x14ac:dyDescent="0.25">
      <c r="A134" s="280"/>
      <c r="B134" s="89">
        <v>9</v>
      </c>
      <c r="C134" s="89">
        <v>9</v>
      </c>
      <c r="D134" s="89">
        <v>10</v>
      </c>
      <c r="E134" s="89">
        <v>9</v>
      </c>
      <c r="F134" s="89">
        <v>10</v>
      </c>
      <c r="G134" s="89">
        <v>9</v>
      </c>
      <c r="H134" s="89">
        <v>7</v>
      </c>
      <c r="I134" s="89">
        <v>8</v>
      </c>
      <c r="J134" s="147">
        <v>9</v>
      </c>
      <c r="L134" s="3">
        <v>5</v>
      </c>
      <c r="M134" s="92"/>
      <c r="N134" s="92"/>
      <c r="O134" s="92"/>
      <c r="P134" s="92"/>
      <c r="Q134" s="92"/>
      <c r="R134" s="92"/>
      <c r="S134" s="91">
        <v>0</v>
      </c>
      <c r="T134" s="92"/>
      <c r="U134" s="2"/>
    </row>
    <row r="135" spans="1:21" x14ac:dyDescent="0.25">
      <c r="A135" s="280"/>
      <c r="B135" s="89">
        <v>9</v>
      </c>
      <c r="C135" s="89">
        <v>9</v>
      </c>
      <c r="D135" s="89">
        <v>10</v>
      </c>
      <c r="E135" s="89">
        <v>9</v>
      </c>
      <c r="F135" s="89">
        <v>10</v>
      </c>
      <c r="G135" s="89">
        <v>9</v>
      </c>
      <c r="H135" s="89">
        <v>7</v>
      </c>
      <c r="I135" s="89">
        <v>8</v>
      </c>
      <c r="J135" s="147">
        <v>9</v>
      </c>
      <c r="L135" s="3">
        <v>5</v>
      </c>
      <c r="M135" s="92"/>
      <c r="N135" s="92"/>
      <c r="O135" s="92"/>
      <c r="P135" s="92"/>
      <c r="Q135" s="92"/>
      <c r="R135" s="92"/>
      <c r="S135" s="91">
        <v>0</v>
      </c>
      <c r="T135" s="92"/>
      <c r="U135" s="2"/>
    </row>
    <row r="136" spans="1:21" x14ac:dyDescent="0.25">
      <c r="A136" s="280"/>
      <c r="B136" s="89">
        <v>9</v>
      </c>
      <c r="C136" s="89">
        <v>9</v>
      </c>
      <c r="D136" s="89">
        <v>10</v>
      </c>
      <c r="E136" s="89">
        <v>9</v>
      </c>
      <c r="F136" s="89">
        <v>10</v>
      </c>
      <c r="G136" s="89">
        <v>9</v>
      </c>
      <c r="H136" s="89">
        <v>7</v>
      </c>
      <c r="I136" s="89">
        <v>8</v>
      </c>
      <c r="J136" s="147">
        <v>9</v>
      </c>
      <c r="L136" s="3">
        <v>5</v>
      </c>
      <c r="M136" s="92"/>
      <c r="N136" s="92"/>
      <c r="O136" s="92"/>
      <c r="P136" s="92"/>
      <c r="Q136" s="92"/>
      <c r="R136" s="92"/>
      <c r="S136" s="91">
        <v>0</v>
      </c>
      <c r="T136" s="92"/>
      <c r="U136" s="2"/>
    </row>
    <row r="137" spans="1:21" x14ac:dyDescent="0.25">
      <c r="A137" s="280"/>
      <c r="B137" s="89">
        <v>9</v>
      </c>
      <c r="C137" s="89">
        <v>9</v>
      </c>
      <c r="D137" s="89">
        <v>10</v>
      </c>
      <c r="E137" s="89">
        <v>9</v>
      </c>
      <c r="F137" s="89">
        <v>10</v>
      </c>
      <c r="G137" s="89">
        <v>9</v>
      </c>
      <c r="H137" s="89">
        <v>7</v>
      </c>
      <c r="I137" s="89">
        <v>8</v>
      </c>
      <c r="J137" s="147">
        <v>9</v>
      </c>
      <c r="L137" s="3">
        <v>5</v>
      </c>
      <c r="M137" s="92"/>
      <c r="N137" s="92"/>
      <c r="O137" s="92"/>
      <c r="P137" s="92"/>
      <c r="Q137" s="92"/>
      <c r="R137" s="92"/>
      <c r="S137" s="91">
        <v>0</v>
      </c>
      <c r="T137" s="92"/>
      <c r="U137" s="2"/>
    </row>
    <row r="138" spans="1:21" x14ac:dyDescent="0.25">
      <c r="A138" s="280"/>
      <c r="B138" s="89">
        <v>9</v>
      </c>
      <c r="C138" s="89">
        <v>9</v>
      </c>
      <c r="D138" s="89">
        <v>10</v>
      </c>
      <c r="E138" s="89">
        <v>9</v>
      </c>
      <c r="F138" s="89">
        <v>10</v>
      </c>
      <c r="G138" s="89">
        <v>9</v>
      </c>
      <c r="H138" s="89">
        <v>7</v>
      </c>
      <c r="I138" s="89">
        <v>8</v>
      </c>
      <c r="J138" s="147">
        <v>9</v>
      </c>
      <c r="L138" s="3">
        <v>5</v>
      </c>
      <c r="M138" s="92"/>
      <c r="N138" s="92"/>
      <c r="O138" s="92"/>
      <c r="P138" s="92"/>
      <c r="Q138" s="92"/>
      <c r="R138" s="92"/>
      <c r="S138" s="91">
        <v>0</v>
      </c>
      <c r="T138" s="92"/>
      <c r="U138" s="2"/>
    </row>
    <row r="139" spans="1:21" x14ac:dyDescent="0.25">
      <c r="A139" s="280"/>
      <c r="B139" s="89">
        <v>9</v>
      </c>
      <c r="C139" s="89">
        <v>9</v>
      </c>
      <c r="D139" s="145">
        <v>0</v>
      </c>
      <c r="E139" s="89">
        <v>8</v>
      </c>
      <c r="F139" s="89">
        <v>7</v>
      </c>
      <c r="G139" s="145">
        <v>0</v>
      </c>
      <c r="H139" s="89">
        <v>7</v>
      </c>
      <c r="I139" s="89">
        <v>0</v>
      </c>
      <c r="J139" s="147">
        <v>0</v>
      </c>
      <c r="L139" s="3">
        <v>5</v>
      </c>
      <c r="M139" s="92"/>
      <c r="N139" s="92"/>
      <c r="O139" s="92"/>
      <c r="P139" s="92"/>
      <c r="Q139" s="92"/>
      <c r="R139" s="92"/>
      <c r="S139" s="91">
        <v>0</v>
      </c>
      <c r="T139" s="92"/>
      <c r="U139" s="2"/>
    </row>
    <row r="140" spans="1:21" x14ac:dyDescent="0.25">
      <c r="A140" s="280"/>
      <c r="B140" s="89">
        <v>9</v>
      </c>
      <c r="C140" s="89">
        <v>9</v>
      </c>
      <c r="D140" s="89">
        <v>8</v>
      </c>
      <c r="E140" s="89">
        <v>8</v>
      </c>
      <c r="F140" s="89">
        <v>9</v>
      </c>
      <c r="G140" s="89">
        <v>9</v>
      </c>
      <c r="H140" s="89">
        <v>7</v>
      </c>
      <c r="I140" s="89">
        <v>8</v>
      </c>
      <c r="J140" s="147">
        <v>9</v>
      </c>
      <c r="L140" s="3">
        <v>5</v>
      </c>
      <c r="M140" s="92"/>
      <c r="N140" s="92"/>
      <c r="O140" s="92"/>
      <c r="P140" s="92"/>
      <c r="Q140" s="92"/>
      <c r="R140" s="92"/>
      <c r="S140" s="91">
        <v>0</v>
      </c>
      <c r="T140" s="92"/>
      <c r="U140" s="2"/>
    </row>
    <row r="141" spans="1:21" x14ac:dyDescent="0.25">
      <c r="A141" s="280"/>
      <c r="B141" s="89">
        <v>9</v>
      </c>
      <c r="C141" s="89">
        <v>9</v>
      </c>
      <c r="D141" s="89">
        <v>8</v>
      </c>
      <c r="E141" s="89">
        <v>8</v>
      </c>
      <c r="F141" s="89">
        <v>9</v>
      </c>
      <c r="G141" s="89">
        <v>9</v>
      </c>
      <c r="H141" s="89">
        <v>7</v>
      </c>
      <c r="I141" s="89">
        <v>8</v>
      </c>
      <c r="J141" s="147">
        <v>9</v>
      </c>
      <c r="L141" s="3">
        <v>5</v>
      </c>
      <c r="M141" s="92"/>
      <c r="N141" s="92"/>
      <c r="O141" s="92"/>
      <c r="P141" s="92"/>
      <c r="Q141" s="92"/>
      <c r="R141" s="92"/>
      <c r="S141" s="91">
        <v>0</v>
      </c>
      <c r="T141" s="92"/>
      <c r="U141" s="2"/>
    </row>
    <row r="142" spans="1:21" x14ac:dyDescent="0.25">
      <c r="A142" s="280"/>
      <c r="B142" s="89">
        <v>9</v>
      </c>
      <c r="C142" s="89">
        <v>9</v>
      </c>
      <c r="D142" s="89">
        <v>8</v>
      </c>
      <c r="E142" s="89">
        <v>9</v>
      </c>
      <c r="F142" s="89">
        <v>10</v>
      </c>
      <c r="G142" s="89">
        <v>9</v>
      </c>
      <c r="H142" s="89">
        <v>7</v>
      </c>
      <c r="I142" s="89">
        <v>8</v>
      </c>
      <c r="J142" s="147">
        <v>9</v>
      </c>
      <c r="L142" s="3">
        <v>5</v>
      </c>
      <c r="M142" s="92"/>
      <c r="N142" s="92"/>
      <c r="O142" s="92"/>
      <c r="P142" s="92"/>
      <c r="Q142" s="92"/>
      <c r="R142" s="92"/>
      <c r="S142" s="91">
        <v>0</v>
      </c>
      <c r="T142" s="92"/>
      <c r="U142" s="2"/>
    </row>
    <row r="143" spans="1:21" x14ac:dyDescent="0.25">
      <c r="A143" s="280"/>
      <c r="B143" s="89">
        <v>9</v>
      </c>
      <c r="C143" s="89">
        <v>9</v>
      </c>
      <c r="D143" s="89">
        <v>10</v>
      </c>
      <c r="E143" s="89">
        <v>9</v>
      </c>
      <c r="F143" s="89">
        <v>10</v>
      </c>
      <c r="G143" s="89">
        <v>9</v>
      </c>
      <c r="H143" s="89">
        <v>7</v>
      </c>
      <c r="I143" s="89">
        <v>8</v>
      </c>
      <c r="J143" s="147">
        <v>9</v>
      </c>
      <c r="L143" s="3">
        <v>5</v>
      </c>
      <c r="M143" s="92"/>
      <c r="N143" s="92"/>
      <c r="O143" s="92"/>
      <c r="P143" s="92"/>
      <c r="Q143" s="92"/>
      <c r="R143" s="92"/>
      <c r="S143" s="91">
        <v>0</v>
      </c>
      <c r="T143" s="92"/>
      <c r="U143" s="2"/>
    </row>
    <row r="144" spans="1:21" x14ac:dyDescent="0.25">
      <c r="A144" s="280"/>
      <c r="B144" s="89">
        <v>9</v>
      </c>
      <c r="C144" s="89">
        <v>9</v>
      </c>
      <c r="D144" s="89">
        <v>10</v>
      </c>
      <c r="E144" s="89">
        <v>9</v>
      </c>
      <c r="F144" s="89">
        <v>10</v>
      </c>
      <c r="G144" s="89">
        <v>9</v>
      </c>
      <c r="H144" s="89">
        <v>7</v>
      </c>
      <c r="I144" s="89">
        <v>8</v>
      </c>
      <c r="J144" s="147">
        <v>9</v>
      </c>
      <c r="L144" s="3">
        <v>5</v>
      </c>
      <c r="M144" s="92"/>
      <c r="N144" s="92"/>
      <c r="O144" s="92"/>
      <c r="P144" s="92"/>
      <c r="Q144" s="92"/>
      <c r="R144" s="92"/>
      <c r="S144" s="91">
        <v>0</v>
      </c>
      <c r="T144" s="92"/>
      <c r="U144" s="2"/>
    </row>
    <row r="145" spans="1:21" x14ac:dyDescent="0.25">
      <c r="A145" s="280"/>
      <c r="B145" s="89">
        <v>9</v>
      </c>
      <c r="C145" s="89">
        <v>9</v>
      </c>
      <c r="D145" s="89">
        <v>10</v>
      </c>
      <c r="E145" s="89">
        <v>9</v>
      </c>
      <c r="F145" s="89">
        <v>10</v>
      </c>
      <c r="G145" s="89">
        <v>9</v>
      </c>
      <c r="H145" s="89">
        <v>7</v>
      </c>
      <c r="I145" s="89">
        <v>8</v>
      </c>
      <c r="J145" s="147">
        <v>9</v>
      </c>
      <c r="L145" s="3">
        <v>1</v>
      </c>
      <c r="M145" s="92"/>
      <c r="N145" s="92"/>
      <c r="O145" s="92"/>
      <c r="P145" s="92"/>
      <c r="Q145" s="92"/>
      <c r="R145" s="92"/>
      <c r="S145" s="92"/>
      <c r="T145" s="91">
        <v>1</v>
      </c>
      <c r="U145" s="2"/>
    </row>
    <row r="146" spans="1:21" x14ac:dyDescent="0.25">
      <c r="A146" s="280"/>
      <c r="B146" s="89">
        <v>9</v>
      </c>
      <c r="C146" s="89">
        <v>9</v>
      </c>
      <c r="D146" s="89">
        <v>10</v>
      </c>
      <c r="E146" s="89">
        <v>9</v>
      </c>
      <c r="F146" s="89">
        <v>10</v>
      </c>
      <c r="G146" s="89">
        <v>9</v>
      </c>
      <c r="H146" s="89">
        <v>7</v>
      </c>
      <c r="I146" s="89">
        <v>8</v>
      </c>
      <c r="J146" s="147">
        <v>9</v>
      </c>
      <c r="L146" s="3">
        <v>1</v>
      </c>
      <c r="M146" s="92"/>
      <c r="N146" s="92"/>
      <c r="O146" s="92"/>
      <c r="P146" s="92"/>
      <c r="Q146" s="92"/>
      <c r="R146" s="92"/>
      <c r="S146" s="92"/>
      <c r="T146" s="91">
        <v>1</v>
      </c>
      <c r="U146" s="2"/>
    </row>
    <row r="147" spans="1:21" x14ac:dyDescent="0.25">
      <c r="A147" s="280"/>
      <c r="B147" s="89">
        <v>9</v>
      </c>
      <c r="C147" s="89">
        <v>9</v>
      </c>
      <c r="D147" s="89">
        <v>10</v>
      </c>
      <c r="E147" s="89">
        <v>9</v>
      </c>
      <c r="F147" s="89">
        <v>10</v>
      </c>
      <c r="G147" s="89">
        <v>9</v>
      </c>
      <c r="H147" s="89">
        <v>7</v>
      </c>
      <c r="I147" s="89">
        <v>8</v>
      </c>
      <c r="J147" s="147">
        <v>9</v>
      </c>
      <c r="L147" s="3">
        <v>5</v>
      </c>
      <c r="M147" s="92"/>
      <c r="N147" s="92"/>
      <c r="O147" s="92"/>
      <c r="P147" s="92"/>
      <c r="Q147" s="92"/>
      <c r="R147" s="92"/>
      <c r="S147" s="92"/>
      <c r="T147" s="91">
        <v>0</v>
      </c>
      <c r="U147" s="2"/>
    </row>
    <row r="148" spans="1:21" x14ac:dyDescent="0.25">
      <c r="A148" s="280"/>
      <c r="B148" s="89">
        <v>9</v>
      </c>
      <c r="C148" s="89">
        <v>9</v>
      </c>
      <c r="D148" s="89">
        <v>10</v>
      </c>
      <c r="E148" s="89">
        <v>9</v>
      </c>
      <c r="F148" s="89">
        <v>10</v>
      </c>
      <c r="G148" s="89">
        <v>9</v>
      </c>
      <c r="H148" s="89">
        <v>7</v>
      </c>
      <c r="I148" s="89">
        <v>8</v>
      </c>
      <c r="J148" s="147">
        <v>9</v>
      </c>
      <c r="L148" s="3">
        <v>5</v>
      </c>
      <c r="M148" s="92"/>
      <c r="N148" s="92"/>
      <c r="O148" s="92"/>
      <c r="P148" s="92"/>
      <c r="Q148" s="92"/>
      <c r="R148" s="92"/>
      <c r="S148" s="92"/>
      <c r="T148" s="91">
        <v>0</v>
      </c>
      <c r="U148" s="2"/>
    </row>
    <row r="149" spans="1:21" x14ac:dyDescent="0.25">
      <c r="A149" s="281"/>
      <c r="B149" s="150"/>
      <c r="C149" s="150"/>
      <c r="D149" s="150"/>
      <c r="E149" s="150"/>
      <c r="F149" s="150"/>
      <c r="G149" s="150"/>
      <c r="H149" s="150"/>
      <c r="I149" s="150"/>
      <c r="J149" s="151"/>
      <c r="L149" s="3">
        <v>5</v>
      </c>
      <c r="M149" s="92"/>
      <c r="N149" s="92"/>
      <c r="O149" s="92"/>
      <c r="P149" s="92"/>
      <c r="Q149" s="92"/>
      <c r="R149" s="92"/>
      <c r="S149" s="92"/>
      <c r="T149" s="91">
        <v>0</v>
      </c>
      <c r="U149" s="2"/>
    </row>
    <row r="150" spans="1:21" x14ac:dyDescent="0.25">
      <c r="L150" s="3">
        <v>5</v>
      </c>
      <c r="M150" s="92"/>
      <c r="N150" s="92"/>
      <c r="O150" s="92"/>
      <c r="P150" s="92"/>
      <c r="Q150" s="92"/>
      <c r="R150" s="92"/>
      <c r="S150" s="92"/>
      <c r="T150" s="91">
        <v>0</v>
      </c>
      <c r="U150" s="2"/>
    </row>
    <row r="151" spans="1:21" x14ac:dyDescent="0.25">
      <c r="L151" s="3">
        <v>5</v>
      </c>
      <c r="M151" s="92"/>
      <c r="N151" s="92"/>
      <c r="O151" s="92"/>
      <c r="P151" s="92"/>
      <c r="Q151" s="92"/>
      <c r="R151" s="92"/>
      <c r="S151" s="92"/>
      <c r="T151" s="91">
        <v>0</v>
      </c>
      <c r="U151" s="2"/>
    </row>
    <row r="152" spans="1:21" x14ac:dyDescent="0.25">
      <c r="L152" s="3">
        <v>5</v>
      </c>
      <c r="M152" s="92"/>
      <c r="N152" s="92"/>
      <c r="O152" s="92"/>
      <c r="P152" s="92"/>
      <c r="Q152" s="92"/>
      <c r="R152" s="92"/>
      <c r="S152" s="92"/>
      <c r="T152" s="91">
        <v>0</v>
      </c>
      <c r="U152" s="2"/>
    </row>
    <row r="153" spans="1:21" x14ac:dyDescent="0.25">
      <c r="L153" s="3">
        <v>5</v>
      </c>
      <c r="M153" s="92"/>
      <c r="N153" s="92"/>
      <c r="O153" s="92"/>
      <c r="P153" s="92"/>
      <c r="Q153" s="92"/>
      <c r="R153" s="92"/>
      <c r="S153" s="92"/>
      <c r="T153" s="91">
        <v>0</v>
      </c>
      <c r="U153" s="2"/>
    </row>
    <row r="154" spans="1:21" x14ac:dyDescent="0.25">
      <c r="L154" s="3">
        <v>5</v>
      </c>
      <c r="M154" s="92"/>
      <c r="N154" s="92"/>
      <c r="O154" s="92"/>
      <c r="P154" s="92"/>
      <c r="Q154" s="92"/>
      <c r="R154" s="92"/>
      <c r="S154" s="92"/>
      <c r="T154" s="91">
        <v>0</v>
      </c>
      <c r="U154" s="2"/>
    </row>
    <row r="155" spans="1:21" x14ac:dyDescent="0.25">
      <c r="L155" s="3">
        <v>5</v>
      </c>
      <c r="M155" s="92"/>
      <c r="N155" s="92"/>
      <c r="O155" s="92"/>
      <c r="P155" s="92"/>
      <c r="Q155" s="92"/>
      <c r="R155" s="92"/>
      <c r="S155" s="92"/>
      <c r="T155" s="91">
        <v>0</v>
      </c>
      <c r="U155" s="2"/>
    </row>
    <row r="156" spans="1:21" x14ac:dyDescent="0.25">
      <c r="L156" s="3">
        <v>5</v>
      </c>
      <c r="M156" s="92"/>
      <c r="N156" s="92"/>
      <c r="O156" s="92"/>
      <c r="P156" s="92"/>
      <c r="Q156" s="92"/>
      <c r="R156" s="92"/>
      <c r="S156" s="92"/>
      <c r="T156" s="91">
        <v>0</v>
      </c>
      <c r="U156" s="2"/>
    </row>
    <row r="157" spans="1:21" x14ac:dyDescent="0.25">
      <c r="L157" s="3">
        <v>5</v>
      </c>
      <c r="M157" s="92"/>
      <c r="N157" s="92"/>
      <c r="O157" s="92"/>
      <c r="P157" s="92"/>
      <c r="Q157" s="92"/>
      <c r="R157" s="92"/>
      <c r="S157" s="92"/>
      <c r="T157" s="91">
        <v>0</v>
      </c>
      <c r="U157" s="2"/>
    </row>
    <row r="158" spans="1:21" x14ac:dyDescent="0.25">
      <c r="L158" s="3">
        <v>5</v>
      </c>
      <c r="M158" s="92"/>
      <c r="N158" s="92"/>
      <c r="O158" s="92"/>
      <c r="P158" s="92"/>
      <c r="Q158" s="92"/>
      <c r="R158" s="92"/>
      <c r="S158" s="92"/>
      <c r="T158" s="91">
        <v>0</v>
      </c>
      <c r="U158" s="2"/>
    </row>
    <row r="159" spans="1:21" x14ac:dyDescent="0.25">
      <c r="L159" s="3">
        <v>5</v>
      </c>
      <c r="M159" s="92"/>
      <c r="N159" s="92"/>
      <c r="O159" s="92"/>
      <c r="P159" s="92"/>
      <c r="Q159" s="92"/>
      <c r="R159" s="92"/>
      <c r="S159" s="92"/>
      <c r="T159" s="91">
        <v>0</v>
      </c>
      <c r="U159" s="2"/>
    </row>
    <row r="160" spans="1:21" x14ac:dyDescent="0.25">
      <c r="L160" s="3">
        <v>5</v>
      </c>
      <c r="M160" s="92"/>
      <c r="N160" s="92"/>
      <c r="O160" s="92"/>
      <c r="P160" s="92"/>
      <c r="Q160" s="92"/>
      <c r="R160" s="92"/>
      <c r="S160" s="92"/>
      <c r="T160" s="91">
        <v>0</v>
      </c>
      <c r="U160" s="2"/>
    </row>
    <row r="161" spans="12:21" x14ac:dyDescent="0.25">
      <c r="L161" s="3">
        <v>5</v>
      </c>
      <c r="M161" s="92"/>
      <c r="N161" s="92"/>
      <c r="O161" s="92"/>
      <c r="P161" s="92"/>
      <c r="Q161" s="92"/>
      <c r="R161" s="92"/>
      <c r="S161" s="92"/>
      <c r="T161" s="91">
        <v>0</v>
      </c>
      <c r="U161" s="2"/>
    </row>
    <row r="162" spans="12:21" x14ac:dyDescent="0.25">
      <c r="L162" s="3">
        <v>5</v>
      </c>
      <c r="M162" s="92"/>
      <c r="N162" s="92"/>
      <c r="O162" s="92"/>
      <c r="P162" s="92"/>
      <c r="Q162" s="92"/>
      <c r="R162" s="92"/>
      <c r="S162" s="92"/>
      <c r="T162" s="91">
        <v>0</v>
      </c>
      <c r="U162" s="2"/>
    </row>
    <row r="163" spans="12:21" x14ac:dyDescent="0.25">
      <c r="L163" s="3">
        <v>5</v>
      </c>
      <c r="M163" s="92"/>
      <c r="N163" s="92"/>
      <c r="O163" s="92"/>
      <c r="P163" s="92"/>
      <c r="Q163" s="92"/>
      <c r="R163" s="92"/>
      <c r="S163" s="92"/>
      <c r="T163" s="91">
        <v>0</v>
      </c>
      <c r="U163" s="2"/>
    </row>
    <row r="164" spans="12:21" x14ac:dyDescent="0.25">
      <c r="L164" s="3">
        <v>5</v>
      </c>
      <c r="M164" s="92"/>
      <c r="N164" s="92"/>
      <c r="O164" s="92"/>
      <c r="P164" s="92"/>
      <c r="Q164" s="92"/>
      <c r="R164" s="92"/>
      <c r="S164" s="92"/>
      <c r="T164" s="91">
        <v>0</v>
      </c>
      <c r="U164" s="2"/>
    </row>
    <row r="165" spans="12:21" x14ac:dyDescent="0.25">
      <c r="L165" s="3">
        <v>4</v>
      </c>
      <c r="M165" s="92"/>
      <c r="N165" s="92"/>
      <c r="O165" s="92"/>
      <c r="P165" s="92"/>
      <c r="Q165" s="92"/>
      <c r="R165" s="92"/>
      <c r="S165" s="92"/>
      <c r="T165" s="92"/>
      <c r="U165" s="6">
        <v>1</v>
      </c>
    </row>
    <row r="166" spans="12:21" x14ac:dyDescent="0.25">
      <c r="L166" s="3">
        <v>4</v>
      </c>
      <c r="M166" s="92"/>
      <c r="N166" s="92"/>
      <c r="O166" s="92"/>
      <c r="P166" s="92"/>
      <c r="Q166" s="92"/>
      <c r="R166" s="92"/>
      <c r="S166" s="92"/>
      <c r="T166" s="92"/>
      <c r="U166" s="6">
        <v>1</v>
      </c>
    </row>
    <row r="167" spans="12:21" x14ac:dyDescent="0.25">
      <c r="L167" s="3">
        <v>5</v>
      </c>
      <c r="M167" s="92"/>
      <c r="N167" s="92"/>
      <c r="O167" s="92"/>
      <c r="P167" s="92"/>
      <c r="Q167" s="92"/>
      <c r="R167" s="92"/>
      <c r="S167" s="92"/>
      <c r="T167" s="92"/>
      <c r="U167" s="6">
        <v>1</v>
      </c>
    </row>
    <row r="168" spans="12:21" x14ac:dyDescent="0.25">
      <c r="L168" s="3">
        <v>5</v>
      </c>
      <c r="M168" s="92"/>
      <c r="N168" s="92"/>
      <c r="O168" s="92"/>
      <c r="P168" s="92"/>
      <c r="Q168" s="92"/>
      <c r="R168" s="92"/>
      <c r="S168" s="92"/>
      <c r="T168" s="92"/>
      <c r="U168" s="6">
        <v>0</v>
      </c>
    </row>
    <row r="169" spans="12:21" x14ac:dyDescent="0.25">
      <c r="L169" s="3">
        <v>5</v>
      </c>
      <c r="M169" s="92"/>
      <c r="N169" s="92"/>
      <c r="O169" s="92"/>
      <c r="P169" s="92"/>
      <c r="Q169" s="92"/>
      <c r="R169" s="92"/>
      <c r="S169" s="92"/>
      <c r="T169" s="92"/>
      <c r="U169" s="6">
        <v>0</v>
      </c>
    </row>
    <row r="170" spans="12:21" x14ac:dyDescent="0.25">
      <c r="L170" s="3">
        <v>5</v>
      </c>
      <c r="M170" s="92"/>
      <c r="N170" s="92"/>
      <c r="O170" s="92"/>
      <c r="P170" s="92"/>
      <c r="Q170" s="92"/>
      <c r="R170" s="92"/>
      <c r="S170" s="92"/>
      <c r="T170" s="92"/>
      <c r="U170" s="6">
        <v>0</v>
      </c>
    </row>
    <row r="171" spans="12:21" x14ac:dyDescent="0.25">
      <c r="L171" s="3">
        <v>5</v>
      </c>
      <c r="M171" s="92"/>
      <c r="N171" s="92"/>
      <c r="O171" s="92"/>
      <c r="P171" s="92"/>
      <c r="Q171" s="92"/>
      <c r="R171" s="92"/>
      <c r="S171" s="92"/>
      <c r="T171" s="92"/>
      <c r="U171" s="6">
        <v>0</v>
      </c>
    </row>
    <row r="172" spans="12:21" x14ac:dyDescent="0.25">
      <c r="L172" s="3">
        <v>5</v>
      </c>
      <c r="M172" s="92"/>
      <c r="N172" s="92"/>
      <c r="O172" s="92"/>
      <c r="P172" s="92"/>
      <c r="Q172" s="92"/>
      <c r="R172" s="92"/>
      <c r="S172" s="92"/>
      <c r="T172" s="92"/>
      <c r="U172" s="6">
        <v>0</v>
      </c>
    </row>
    <row r="173" spans="12:21" x14ac:dyDescent="0.25">
      <c r="L173" s="3">
        <v>5</v>
      </c>
      <c r="M173" s="92"/>
      <c r="N173" s="92"/>
      <c r="O173" s="92"/>
      <c r="P173" s="92"/>
      <c r="Q173" s="92"/>
      <c r="R173" s="92"/>
      <c r="S173" s="92"/>
      <c r="T173" s="92"/>
      <c r="U173" s="6">
        <v>0</v>
      </c>
    </row>
    <row r="174" spans="12:21" x14ac:dyDescent="0.25">
      <c r="L174" s="3">
        <v>5</v>
      </c>
      <c r="M174" s="92"/>
      <c r="N174" s="92"/>
      <c r="O174" s="92"/>
      <c r="P174" s="92"/>
      <c r="Q174" s="92"/>
      <c r="R174" s="92"/>
      <c r="S174" s="92"/>
      <c r="T174" s="92"/>
      <c r="U174" s="6">
        <v>0</v>
      </c>
    </row>
    <row r="175" spans="12:21" x14ac:dyDescent="0.25">
      <c r="L175" s="3">
        <v>5</v>
      </c>
      <c r="M175" s="92"/>
      <c r="N175" s="92"/>
      <c r="O175" s="92"/>
      <c r="P175" s="92"/>
      <c r="Q175" s="92"/>
      <c r="R175" s="92"/>
      <c r="S175" s="92"/>
      <c r="T175" s="92"/>
      <c r="U175" s="6">
        <v>0</v>
      </c>
    </row>
    <row r="176" spans="12:21" x14ac:dyDescent="0.25">
      <c r="L176" s="3">
        <v>5</v>
      </c>
      <c r="M176" s="92"/>
      <c r="N176" s="92"/>
      <c r="O176" s="92"/>
      <c r="P176" s="92"/>
      <c r="Q176" s="92"/>
      <c r="R176" s="92"/>
      <c r="S176" s="92"/>
      <c r="T176" s="92"/>
      <c r="U176" s="6">
        <v>0</v>
      </c>
    </row>
    <row r="177" spans="12:21" x14ac:dyDescent="0.25">
      <c r="L177" s="3">
        <v>5</v>
      </c>
      <c r="M177" s="92"/>
      <c r="N177" s="92"/>
      <c r="O177" s="92"/>
      <c r="P177" s="92"/>
      <c r="Q177" s="92"/>
      <c r="R177" s="92"/>
      <c r="S177" s="92"/>
      <c r="T177" s="92"/>
      <c r="U177" s="6">
        <v>0</v>
      </c>
    </row>
    <row r="178" spans="12:21" x14ac:dyDescent="0.25">
      <c r="L178" s="3">
        <v>5</v>
      </c>
      <c r="M178" s="92"/>
      <c r="N178" s="92"/>
      <c r="O178" s="92"/>
      <c r="P178" s="92"/>
      <c r="Q178" s="92"/>
      <c r="R178" s="92"/>
      <c r="S178" s="92"/>
      <c r="T178" s="92"/>
      <c r="U178" s="6">
        <v>0</v>
      </c>
    </row>
    <row r="179" spans="12:21" x14ac:dyDescent="0.25">
      <c r="L179" s="3">
        <v>5</v>
      </c>
      <c r="M179" s="92"/>
      <c r="N179" s="92"/>
      <c r="O179" s="92"/>
      <c r="P179" s="92"/>
      <c r="Q179" s="92"/>
      <c r="R179" s="92"/>
      <c r="S179" s="92"/>
      <c r="T179" s="92"/>
      <c r="U179" s="6">
        <v>0</v>
      </c>
    </row>
    <row r="180" spans="12:21" x14ac:dyDescent="0.25">
      <c r="L180" s="3">
        <v>5</v>
      </c>
      <c r="M180" s="92"/>
      <c r="N180" s="92"/>
      <c r="O180" s="92"/>
      <c r="P180" s="92"/>
      <c r="Q180" s="92"/>
      <c r="R180" s="92"/>
      <c r="S180" s="92"/>
      <c r="T180" s="92"/>
      <c r="U180" s="6">
        <v>0</v>
      </c>
    </row>
    <row r="181" spans="12:21" x14ac:dyDescent="0.25">
      <c r="L181" s="3">
        <v>5</v>
      </c>
      <c r="M181" s="92"/>
      <c r="N181" s="92"/>
      <c r="O181" s="92"/>
      <c r="P181" s="92"/>
      <c r="Q181" s="92"/>
      <c r="R181" s="92"/>
      <c r="S181" s="92"/>
      <c r="T181" s="92"/>
      <c r="U181" s="6">
        <v>0</v>
      </c>
    </row>
    <row r="182" spans="12:21" x14ac:dyDescent="0.25">
      <c r="L182" s="3">
        <v>5</v>
      </c>
      <c r="M182" s="92"/>
      <c r="N182" s="92"/>
      <c r="O182" s="92"/>
      <c r="P182" s="92"/>
      <c r="Q182" s="92"/>
      <c r="R182" s="92"/>
      <c r="S182" s="92"/>
      <c r="T182" s="92"/>
      <c r="U182" s="6">
        <v>0</v>
      </c>
    </row>
    <row r="183" spans="12:21" x14ac:dyDescent="0.25">
      <c r="L183" s="3">
        <v>5</v>
      </c>
      <c r="M183" s="92"/>
      <c r="N183" s="92"/>
      <c r="O183" s="92"/>
      <c r="P183" s="92"/>
      <c r="Q183" s="92"/>
      <c r="R183" s="92"/>
      <c r="S183" s="92"/>
      <c r="T183" s="92"/>
      <c r="U183" s="6">
        <v>0</v>
      </c>
    </row>
    <row r="184" spans="12:21" x14ac:dyDescent="0.25">
      <c r="L184" s="17">
        <v>5</v>
      </c>
      <c r="M184" s="15"/>
      <c r="N184" s="15"/>
      <c r="O184" s="15"/>
      <c r="P184" s="15"/>
      <c r="Q184" s="15"/>
      <c r="R184" s="15"/>
      <c r="S184" s="15"/>
      <c r="T184" s="15"/>
      <c r="U184" s="19">
        <v>0</v>
      </c>
    </row>
  </sheetData>
  <mergeCells count="8">
    <mergeCell ref="L3:U3"/>
    <mergeCell ref="A129:A149"/>
    <mergeCell ref="A3:A23"/>
    <mergeCell ref="A24:A44"/>
    <mergeCell ref="A45:A65"/>
    <mergeCell ref="A66:A86"/>
    <mergeCell ref="A87:A107"/>
    <mergeCell ref="A108:A128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6E11-937C-4461-B564-C38935141D21}">
  <dimension ref="A1:AS82"/>
  <sheetViews>
    <sheetView zoomScale="83" zoomScaleNormal="145" workbookViewId="0">
      <selection activeCell="P10" sqref="P10"/>
    </sheetView>
  </sheetViews>
  <sheetFormatPr defaultRowHeight="15" x14ac:dyDescent="0.25"/>
  <sheetData>
    <row r="1" spans="1:42" x14ac:dyDescent="0.25">
      <c r="B1" s="121" t="s">
        <v>243</v>
      </c>
    </row>
    <row r="2" spans="1:42" x14ac:dyDescent="0.25">
      <c r="B2" s="254" t="s">
        <v>95</v>
      </c>
      <c r="C2" s="255"/>
      <c r="D2" s="255"/>
      <c r="E2" s="255"/>
      <c r="F2" s="255"/>
      <c r="G2" s="255"/>
      <c r="H2" s="255"/>
      <c r="I2" s="255"/>
      <c r="J2" s="256"/>
      <c r="K2" s="8"/>
      <c r="L2" s="8"/>
      <c r="M2" s="216"/>
      <c r="N2" s="216"/>
      <c r="O2" s="216"/>
      <c r="P2" s="216"/>
      <c r="Q2" s="216"/>
      <c r="R2" s="216"/>
      <c r="S2" s="216"/>
      <c r="T2" s="216"/>
      <c r="U2" s="129"/>
      <c r="W2" s="216"/>
      <c r="X2" s="216"/>
      <c r="Y2" s="216"/>
      <c r="Z2" s="216"/>
      <c r="AA2" s="216"/>
      <c r="AB2" s="216"/>
      <c r="AC2" s="216"/>
      <c r="AD2" s="216"/>
      <c r="AE2" s="216"/>
      <c r="AF2" s="92"/>
      <c r="AG2" s="119"/>
      <c r="AH2" s="119"/>
      <c r="AI2" s="119"/>
      <c r="AJ2" s="119"/>
      <c r="AK2" s="119"/>
      <c r="AL2" s="119"/>
      <c r="AM2" s="119"/>
      <c r="AN2" s="119"/>
      <c r="AO2" s="119"/>
      <c r="AP2" s="119"/>
    </row>
    <row r="3" spans="1:42" x14ac:dyDescent="0.25">
      <c r="A3" s="96"/>
      <c r="B3" s="201" t="s">
        <v>3</v>
      </c>
      <c r="C3" s="83" t="s">
        <v>39</v>
      </c>
      <c r="D3" s="83" t="s">
        <v>41</v>
      </c>
      <c r="E3" s="83" t="s">
        <v>43</v>
      </c>
      <c r="F3" s="83" t="s">
        <v>44</v>
      </c>
      <c r="G3" s="83" t="s">
        <v>45</v>
      </c>
      <c r="H3" s="83" t="s">
        <v>46</v>
      </c>
      <c r="I3" s="83" t="s">
        <v>47</v>
      </c>
      <c r="J3" s="206" t="s">
        <v>48</v>
      </c>
      <c r="K3" s="83"/>
      <c r="L3" s="83"/>
      <c r="M3" s="96"/>
      <c r="N3" s="96"/>
      <c r="W3" s="129"/>
      <c r="X3" s="129"/>
      <c r="Y3" s="129"/>
      <c r="Z3" s="129"/>
      <c r="AA3" s="129"/>
      <c r="AB3" s="129"/>
      <c r="AC3" s="129"/>
      <c r="AD3" s="129"/>
      <c r="AE3" s="129"/>
      <c r="AF3" s="91"/>
      <c r="AG3" s="140"/>
      <c r="AH3" s="95"/>
      <c r="AI3" s="95"/>
      <c r="AJ3" s="95"/>
      <c r="AK3" s="95"/>
      <c r="AL3" s="95"/>
      <c r="AM3" s="95"/>
      <c r="AN3" s="95"/>
      <c r="AO3" s="95"/>
      <c r="AP3" s="95"/>
    </row>
    <row r="4" spans="1:42" x14ac:dyDescent="0.25">
      <c r="A4" s="96"/>
      <c r="B4" s="201">
        <f>68/4*1000000</f>
        <v>17000000</v>
      </c>
      <c r="C4" s="83">
        <f>46/4*1000000</f>
        <v>11500000</v>
      </c>
      <c r="D4" s="83">
        <f>69/4*1000000</f>
        <v>17250000</v>
      </c>
      <c r="E4" s="83">
        <f>100/4*1000000</f>
        <v>25000000</v>
      </c>
      <c r="F4" s="83">
        <f>31/4*1000000</f>
        <v>7750000</v>
      </c>
      <c r="G4" s="83">
        <f>100/4*1000000</f>
        <v>25000000</v>
      </c>
      <c r="H4" s="83">
        <f>40/4*1000000</f>
        <v>10000000</v>
      </c>
      <c r="I4" s="83">
        <f>47/4*1000000</f>
        <v>11750000</v>
      </c>
      <c r="J4" s="206">
        <f>28/4*1000000</f>
        <v>7000000</v>
      </c>
      <c r="K4" s="96"/>
      <c r="L4" s="83"/>
      <c r="M4" s="96"/>
      <c r="N4" s="96"/>
      <c r="W4" s="91"/>
      <c r="X4" s="161"/>
      <c r="Y4" s="162"/>
      <c r="Z4" s="161"/>
      <c r="AA4" s="161"/>
      <c r="AB4" s="161"/>
      <c r="AC4" s="161"/>
      <c r="AD4" s="161"/>
      <c r="AE4" s="161"/>
      <c r="AF4" s="161"/>
      <c r="AG4" s="139"/>
      <c r="AH4" s="139"/>
      <c r="AI4" s="139"/>
      <c r="AJ4" s="139"/>
      <c r="AK4" s="139"/>
      <c r="AL4" s="139"/>
      <c r="AM4" s="139"/>
      <c r="AN4" s="139"/>
      <c r="AO4" s="139"/>
      <c r="AP4" s="139"/>
    </row>
    <row r="5" spans="1:42" x14ac:dyDescent="0.25">
      <c r="A5" s="96"/>
      <c r="B5" s="201">
        <f>70/4*1000000</f>
        <v>17500000</v>
      </c>
      <c r="C5" s="83">
        <f>54/4*1000000</f>
        <v>13500000</v>
      </c>
      <c r="D5" s="83">
        <f>87/4*1000000</f>
        <v>21750000</v>
      </c>
      <c r="E5" s="83">
        <f>99/4*1000000</f>
        <v>24750000</v>
      </c>
      <c r="F5" s="83">
        <f>134/4*1000000</f>
        <v>33500000</v>
      </c>
      <c r="G5" s="83">
        <f>78/4*1000000</f>
        <v>19500000</v>
      </c>
      <c r="H5" s="83">
        <f>47/4*1000000</f>
        <v>11750000</v>
      </c>
      <c r="I5" s="83">
        <f>18/4*1000000</f>
        <v>4500000</v>
      </c>
      <c r="J5" s="206">
        <f>59/4*1000000</f>
        <v>14750000</v>
      </c>
      <c r="K5" s="83"/>
      <c r="L5" s="83"/>
      <c r="M5" s="96"/>
      <c r="N5" s="96"/>
      <c r="W5" s="91"/>
      <c r="X5" s="161"/>
      <c r="Y5" s="162"/>
      <c r="Z5" s="161"/>
      <c r="AA5" s="161"/>
      <c r="AB5" s="161"/>
      <c r="AC5" s="161"/>
      <c r="AD5" s="161"/>
      <c r="AE5" s="161"/>
      <c r="AF5" s="161"/>
      <c r="AG5" s="139"/>
      <c r="AH5" s="139"/>
      <c r="AI5" s="139"/>
      <c r="AJ5" s="139"/>
      <c r="AK5" s="139"/>
      <c r="AL5" s="139"/>
      <c r="AM5" s="139"/>
      <c r="AN5" s="139"/>
      <c r="AO5" s="139"/>
      <c r="AP5" s="139"/>
    </row>
    <row r="6" spans="1:42" x14ac:dyDescent="0.25">
      <c r="A6" s="96"/>
      <c r="B6" s="201">
        <f>52/4*1000000</f>
        <v>13000000</v>
      </c>
      <c r="C6" s="83">
        <f>20/4*1000000</f>
        <v>5000000</v>
      </c>
      <c r="D6" s="83">
        <f>125/4*1000000</f>
        <v>31250000</v>
      </c>
      <c r="E6" s="83">
        <f>146/4*1000000</f>
        <v>36500000</v>
      </c>
      <c r="F6" s="83">
        <f>66/4*1000000</f>
        <v>16500000</v>
      </c>
      <c r="G6" s="83">
        <f>98/4*100000</f>
        <v>2450000</v>
      </c>
      <c r="H6" s="83">
        <f>40/4*1000000</f>
        <v>10000000</v>
      </c>
      <c r="I6" s="83">
        <f>44/4*1000000</f>
        <v>11000000</v>
      </c>
      <c r="J6" s="206">
        <f>58/4*1000000</f>
        <v>14500000</v>
      </c>
      <c r="K6" s="96"/>
      <c r="L6" s="83"/>
      <c r="M6" s="96"/>
      <c r="N6" s="96"/>
      <c r="W6" s="91"/>
      <c r="X6" s="161"/>
      <c r="Y6" s="162"/>
      <c r="Z6" s="161"/>
      <c r="AA6" s="161"/>
      <c r="AB6" s="161"/>
      <c r="AC6" s="161"/>
      <c r="AD6" s="161"/>
      <c r="AE6" s="161"/>
      <c r="AF6" s="161"/>
      <c r="AG6" s="139"/>
      <c r="AH6" s="139"/>
      <c r="AI6" s="139"/>
      <c r="AJ6" s="139"/>
      <c r="AK6" s="139"/>
      <c r="AL6" s="139"/>
      <c r="AM6" s="139"/>
      <c r="AN6" s="139"/>
      <c r="AO6" s="139"/>
      <c r="AP6" s="139"/>
    </row>
    <row r="7" spans="1:42" x14ac:dyDescent="0.25">
      <c r="A7" s="96"/>
      <c r="B7" s="201">
        <f>38/4*1000000</f>
        <v>9500000</v>
      </c>
      <c r="C7" s="83">
        <f>47/4*1000000</f>
        <v>11750000</v>
      </c>
      <c r="D7" s="83">
        <f>139/4*1000000</f>
        <v>34750000</v>
      </c>
      <c r="E7" s="83">
        <f>74/4*1000000</f>
        <v>18500000</v>
      </c>
      <c r="F7" s="83">
        <f>87/4*1000000</f>
        <v>21750000</v>
      </c>
      <c r="G7" s="83">
        <f>53/4*1000000</f>
        <v>13250000</v>
      </c>
      <c r="H7" s="83">
        <f>78/4*1000000</f>
        <v>19500000</v>
      </c>
      <c r="I7" s="83">
        <f>43/4*1000000</f>
        <v>10750000</v>
      </c>
      <c r="J7" s="206">
        <f>68/4*1000000</f>
        <v>17000000</v>
      </c>
      <c r="K7" s="83"/>
      <c r="L7" s="83"/>
      <c r="M7" s="96"/>
      <c r="N7" s="96"/>
      <c r="W7" s="91"/>
      <c r="X7" s="161"/>
      <c r="Y7" s="162"/>
      <c r="Z7" s="161"/>
      <c r="AA7" s="161"/>
      <c r="AB7" s="161"/>
      <c r="AC7" s="161"/>
      <c r="AD7" s="161"/>
      <c r="AE7" s="161"/>
      <c r="AF7" s="161"/>
      <c r="AG7" s="139"/>
      <c r="AH7" s="139"/>
      <c r="AI7" s="139"/>
      <c r="AJ7" s="139"/>
      <c r="AK7" s="139"/>
      <c r="AL7" s="139"/>
      <c r="AM7" s="139"/>
      <c r="AN7" s="139"/>
      <c r="AO7" s="139"/>
      <c r="AP7" s="139"/>
    </row>
    <row r="8" spans="1:42" x14ac:dyDescent="0.25">
      <c r="A8" s="96"/>
      <c r="B8" s="222">
        <f>84/4*1000000</f>
        <v>21000000</v>
      </c>
      <c r="C8" s="83">
        <f>67/4*1000000</f>
        <v>16750000</v>
      </c>
      <c r="D8" s="83">
        <f>112/4*1000000</f>
        <v>28000000</v>
      </c>
      <c r="E8" s="83">
        <f>111/4*1000000</f>
        <v>27750000</v>
      </c>
      <c r="F8" s="83">
        <f>73/4*1000000</f>
        <v>18250000</v>
      </c>
      <c r="G8" s="83">
        <f>143/4*1000000</f>
        <v>35750000</v>
      </c>
      <c r="H8" s="83">
        <f>113/4*1000000</f>
        <v>28250000</v>
      </c>
      <c r="I8" s="83">
        <f>88/4*1000000</f>
        <v>22000000</v>
      </c>
      <c r="J8" s="206">
        <f>49/4*1000000</f>
        <v>12250000</v>
      </c>
      <c r="K8" s="96"/>
      <c r="L8" s="83"/>
      <c r="M8" s="96"/>
      <c r="N8" s="96"/>
      <c r="W8" s="91"/>
      <c r="X8" s="161"/>
      <c r="Y8" s="162"/>
      <c r="Z8" s="161"/>
      <c r="AA8" s="161"/>
      <c r="AB8" s="161"/>
      <c r="AC8" s="161"/>
      <c r="AD8" s="161"/>
      <c r="AE8" s="161"/>
      <c r="AF8" s="161"/>
      <c r="AG8" s="139"/>
      <c r="AH8" s="139"/>
      <c r="AI8" s="139"/>
      <c r="AJ8" s="139"/>
      <c r="AK8" s="139"/>
      <c r="AL8" s="139"/>
      <c r="AM8" s="139"/>
      <c r="AN8" s="139"/>
      <c r="AO8" s="139"/>
      <c r="AP8" s="139"/>
    </row>
    <row r="9" spans="1:42" x14ac:dyDescent="0.25">
      <c r="A9" s="96"/>
      <c r="B9" s="222">
        <f>67/4*1000000</f>
        <v>16750000</v>
      </c>
      <c r="C9" s="83">
        <f>64/4*1000000</f>
        <v>16000000</v>
      </c>
      <c r="D9" s="83">
        <f>47/4*1000000</f>
        <v>11750000</v>
      </c>
      <c r="E9" s="83">
        <f>84/4*1000000</f>
        <v>21000000</v>
      </c>
      <c r="F9" s="83">
        <f>88/4*1000000</f>
        <v>22000000</v>
      </c>
      <c r="G9" s="83">
        <f>100/4*1000000</f>
        <v>25000000</v>
      </c>
      <c r="H9" s="83">
        <f>76/4*1000000</f>
        <v>19000000</v>
      </c>
      <c r="I9" s="83">
        <f>93/4*1000000</f>
        <v>23250000</v>
      </c>
      <c r="J9" s="206">
        <f>92/4*1000000</f>
        <v>23000000</v>
      </c>
      <c r="K9" s="96"/>
      <c r="L9" s="83"/>
      <c r="M9" s="96"/>
      <c r="N9" s="96"/>
      <c r="W9" s="91"/>
      <c r="X9" s="161"/>
      <c r="Y9" s="162"/>
      <c r="Z9" s="161"/>
      <c r="AA9" s="161"/>
      <c r="AB9" s="161"/>
      <c r="AC9" s="161"/>
      <c r="AD9" s="161"/>
      <c r="AE9" s="161"/>
      <c r="AF9" s="161"/>
      <c r="AG9" s="139"/>
      <c r="AH9" s="139"/>
      <c r="AI9" s="139"/>
      <c r="AJ9" s="139"/>
      <c r="AK9" s="139"/>
      <c r="AL9" s="139"/>
      <c r="AM9" s="139"/>
      <c r="AN9" s="139"/>
      <c r="AO9" s="139"/>
      <c r="AP9" s="139"/>
    </row>
    <row r="10" spans="1:42" x14ac:dyDescent="0.25">
      <c r="A10" s="96"/>
      <c r="B10" s="222">
        <f>53/4*1000000</f>
        <v>13250000</v>
      </c>
      <c r="C10" s="83">
        <f>54/4*1000000</f>
        <v>13500000</v>
      </c>
      <c r="D10" s="83">
        <f>66/4*1000000</f>
        <v>16500000</v>
      </c>
      <c r="E10" s="83">
        <f>103/4*1000000</f>
        <v>25750000</v>
      </c>
      <c r="F10" s="83">
        <f>139/4*1000000</f>
        <v>34750000</v>
      </c>
      <c r="G10" s="83">
        <f>60/4*1000000</f>
        <v>15000000</v>
      </c>
      <c r="H10" s="83">
        <f>86/4*1000000</f>
        <v>21500000</v>
      </c>
      <c r="I10" s="83">
        <f>71/4*1000000</f>
        <v>17750000</v>
      </c>
      <c r="J10" s="206">
        <f>64/4*1000000</f>
        <v>16000000</v>
      </c>
      <c r="K10" s="96"/>
      <c r="L10" s="83"/>
      <c r="M10" s="96"/>
      <c r="N10" s="96"/>
      <c r="W10" s="91"/>
      <c r="X10" s="161"/>
      <c r="Y10" s="162"/>
      <c r="Z10" s="161"/>
      <c r="AA10" s="161"/>
      <c r="AB10" s="161"/>
      <c r="AC10" s="161"/>
      <c r="AD10" s="161"/>
      <c r="AE10" s="161"/>
      <c r="AF10" s="161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</row>
    <row r="11" spans="1:42" x14ac:dyDescent="0.25">
      <c r="A11" s="96"/>
      <c r="B11" s="222">
        <f>44/4*1000000</f>
        <v>11000000</v>
      </c>
      <c r="C11" s="83">
        <f>53/4*1000000</f>
        <v>13250000</v>
      </c>
      <c r="D11" s="83">
        <f>118/4*1000000</f>
        <v>29500000</v>
      </c>
      <c r="E11" s="83">
        <f>170/4*1000000</f>
        <v>42500000</v>
      </c>
      <c r="F11" s="83">
        <f>77/4*1000000</f>
        <v>19250000</v>
      </c>
      <c r="G11" s="83">
        <f>77/4*1000000</f>
        <v>19250000</v>
      </c>
      <c r="H11" s="83">
        <f>11/4*1000000</f>
        <v>2750000</v>
      </c>
      <c r="I11" s="83">
        <f>42/4*1000000</f>
        <v>10500000</v>
      </c>
      <c r="J11" s="206">
        <f>110/4*1000000</f>
        <v>27500000</v>
      </c>
      <c r="K11" s="96"/>
      <c r="L11" s="83"/>
      <c r="M11" s="96"/>
      <c r="N11" s="96"/>
      <c r="W11" s="91"/>
      <c r="X11" s="161"/>
      <c r="Y11" s="162"/>
      <c r="Z11" s="161"/>
      <c r="AA11" s="161"/>
      <c r="AB11" s="161"/>
      <c r="AC11" s="161"/>
      <c r="AD11" s="161"/>
      <c r="AE11" s="161"/>
      <c r="AF11" s="161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</row>
    <row r="12" spans="1:42" x14ac:dyDescent="0.25">
      <c r="A12" s="96"/>
      <c r="B12" s="222">
        <f>50/4*1000000</f>
        <v>12500000</v>
      </c>
      <c r="C12" s="83">
        <f>67/4*1000000</f>
        <v>16750000</v>
      </c>
      <c r="D12" s="83">
        <f>100/4*1000000</f>
        <v>25000000</v>
      </c>
      <c r="E12" s="83">
        <f>65/4*1000000</f>
        <v>16250000</v>
      </c>
      <c r="F12" s="83">
        <f>73/4*1000000</f>
        <v>18250000</v>
      </c>
      <c r="G12" s="83">
        <f>61/4*1000000</f>
        <v>15250000</v>
      </c>
      <c r="H12" s="83">
        <f>22/4*1000000</f>
        <v>5500000</v>
      </c>
      <c r="I12" s="83">
        <f>32/4*1000000</f>
        <v>8000000</v>
      </c>
      <c r="J12" s="206">
        <f>28/4*1000000</f>
        <v>7000000</v>
      </c>
      <c r="K12" s="83"/>
      <c r="L12" s="83"/>
      <c r="M12" s="96"/>
      <c r="N12" s="96"/>
      <c r="W12" s="91"/>
      <c r="X12" s="161"/>
      <c r="Y12" s="162"/>
      <c r="Z12" s="161"/>
      <c r="AA12" s="161"/>
      <c r="AB12" s="161"/>
      <c r="AC12" s="161"/>
      <c r="AD12" s="161"/>
      <c r="AE12" s="161"/>
      <c r="AF12" s="161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</row>
    <row r="13" spans="1:42" x14ac:dyDescent="0.25">
      <c r="A13" s="96"/>
      <c r="B13" s="222">
        <f>56/4*1000000</f>
        <v>14000000</v>
      </c>
      <c r="C13" s="83">
        <f>50/4*1000000</f>
        <v>12500000</v>
      </c>
      <c r="D13" s="83">
        <f>79/4*1000000</f>
        <v>19750000</v>
      </c>
      <c r="E13" s="83">
        <f>102/4*1000000</f>
        <v>25500000</v>
      </c>
      <c r="F13" s="83">
        <f>67/4*1000000</f>
        <v>16750000</v>
      </c>
      <c r="G13" s="83">
        <f>38/4*1000000</f>
        <v>9500000</v>
      </c>
      <c r="H13" s="83">
        <f>71/4*1000000</f>
        <v>17750000</v>
      </c>
      <c r="I13" s="83">
        <f>23/4*1000000</f>
        <v>5750000</v>
      </c>
      <c r="J13" s="206">
        <f>24/4*1000000</f>
        <v>6000000</v>
      </c>
      <c r="K13" s="96"/>
      <c r="L13" s="83"/>
      <c r="M13" s="96"/>
      <c r="N13" s="96"/>
      <c r="W13" s="91"/>
      <c r="X13" s="161"/>
      <c r="Y13" s="162"/>
      <c r="Z13" s="161"/>
      <c r="AA13" s="161"/>
      <c r="AB13" s="161"/>
      <c r="AC13" s="161"/>
      <c r="AD13" s="161"/>
      <c r="AE13" s="161"/>
      <c r="AF13" s="161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</row>
    <row r="14" spans="1:42" x14ac:dyDescent="0.25">
      <c r="A14" s="96"/>
      <c r="B14" s="222">
        <f>108/4*1000000</f>
        <v>27000000</v>
      </c>
      <c r="C14" s="83">
        <f>53/4*1000000</f>
        <v>13250000</v>
      </c>
      <c r="D14" s="83">
        <f>112/4*1000000</f>
        <v>28000000</v>
      </c>
      <c r="E14" s="83">
        <f>79/4*1000000</f>
        <v>19750000</v>
      </c>
      <c r="F14" s="83">
        <f>73/4*1000000</f>
        <v>18250000</v>
      </c>
      <c r="G14" s="83">
        <f>72/4*1000000</f>
        <v>18000000</v>
      </c>
      <c r="H14" s="83">
        <f>17/4*1000000</f>
        <v>4250000</v>
      </c>
      <c r="I14" s="83">
        <f>51/4*1000000</f>
        <v>12750000</v>
      </c>
      <c r="J14" s="206">
        <f>66/4*1000000</f>
        <v>16500000</v>
      </c>
      <c r="K14" s="83"/>
      <c r="L14" s="83"/>
      <c r="M14" s="96"/>
      <c r="N14" s="96"/>
      <c r="W14" s="91"/>
      <c r="X14" s="161"/>
      <c r="Y14" s="162"/>
      <c r="Z14" s="161"/>
      <c r="AA14" s="161"/>
      <c r="AB14" s="161"/>
      <c r="AC14" s="161"/>
      <c r="AD14" s="161"/>
      <c r="AE14" s="161"/>
      <c r="AF14" s="161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</row>
    <row r="15" spans="1:42" x14ac:dyDescent="0.25">
      <c r="A15" s="96"/>
      <c r="B15" s="222">
        <f>48/4*1000000</f>
        <v>12000000</v>
      </c>
      <c r="C15" s="83">
        <f>49/4*1000000</f>
        <v>12250000</v>
      </c>
      <c r="D15" s="83">
        <f>144/4*1000000</f>
        <v>36000000</v>
      </c>
      <c r="E15" s="83">
        <f>76/4*1000000</f>
        <v>19000000</v>
      </c>
      <c r="F15" s="83">
        <f>37/4*1000000</f>
        <v>9250000</v>
      </c>
      <c r="G15" s="83">
        <f>55/4*1000000</f>
        <v>13750000</v>
      </c>
      <c r="H15" s="83">
        <f>20/4*1000000</f>
        <v>5000000</v>
      </c>
      <c r="I15" s="83">
        <f>83/4*1000000</f>
        <v>20750000</v>
      </c>
      <c r="J15" s="206">
        <f>85/4*1000000</f>
        <v>21250000</v>
      </c>
      <c r="K15" s="96"/>
      <c r="L15" s="83"/>
      <c r="M15" s="96"/>
      <c r="N15" s="96"/>
      <c r="W15" s="91"/>
      <c r="X15" s="161"/>
      <c r="Y15" s="162"/>
      <c r="Z15" s="161"/>
      <c r="AA15" s="161"/>
      <c r="AB15" s="161"/>
      <c r="AC15" s="161"/>
      <c r="AD15" s="161"/>
      <c r="AE15" s="161"/>
      <c r="AF15" s="161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</row>
    <row r="16" spans="1:42" x14ac:dyDescent="0.25">
      <c r="A16" s="96"/>
      <c r="B16" s="222">
        <f>36/4*1000000</f>
        <v>9000000</v>
      </c>
      <c r="C16" s="83">
        <f>24/4*1000000</f>
        <v>6000000</v>
      </c>
      <c r="D16" s="83">
        <f>136/4*1000000</f>
        <v>34000000</v>
      </c>
      <c r="E16" s="83">
        <f>91/4*1000000</f>
        <v>22750000</v>
      </c>
      <c r="F16" s="83">
        <f>79/4*1000000</f>
        <v>19750000</v>
      </c>
      <c r="G16" s="83">
        <f>13/4*1000000</f>
        <v>3250000</v>
      </c>
      <c r="H16" s="83">
        <f>61/4*1000000</f>
        <v>15250000</v>
      </c>
      <c r="I16" s="83">
        <f>34/4*1000000</f>
        <v>8500000</v>
      </c>
      <c r="J16" s="206">
        <f>72/4*1000000</f>
        <v>18000000</v>
      </c>
      <c r="K16" s="96"/>
      <c r="L16" s="83"/>
      <c r="M16" s="96"/>
      <c r="N16" s="96"/>
      <c r="W16" s="91"/>
      <c r="X16" s="161"/>
      <c r="Y16" s="162"/>
      <c r="Z16" s="161"/>
      <c r="AA16" s="161"/>
      <c r="AB16" s="161"/>
      <c r="AC16" s="161"/>
      <c r="AD16" s="161"/>
      <c r="AE16" s="161"/>
      <c r="AF16" s="161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</row>
    <row r="17" spans="1:42" x14ac:dyDescent="0.25">
      <c r="A17" s="96"/>
      <c r="B17" s="222">
        <f>47/4*1000000</f>
        <v>11750000</v>
      </c>
      <c r="C17" s="165">
        <f>105/4*1000000</f>
        <v>26250000</v>
      </c>
      <c r="D17" s="83">
        <f>105/4*1000000</f>
        <v>26250000</v>
      </c>
      <c r="E17" s="83">
        <f>106/4*1000000</f>
        <v>26500000</v>
      </c>
      <c r="F17" s="83">
        <f>49/4*1000000</f>
        <v>12250000</v>
      </c>
      <c r="G17" s="83">
        <f>10/4*1000000</f>
        <v>2500000</v>
      </c>
      <c r="H17" s="165">
        <f>36/4*1000000</f>
        <v>9000000</v>
      </c>
      <c r="I17" s="83">
        <f>35/4*1000000</f>
        <v>8750000</v>
      </c>
      <c r="J17" s="206">
        <f>48/4*1000000</f>
        <v>12000000</v>
      </c>
      <c r="K17" s="96"/>
      <c r="L17" s="83"/>
      <c r="M17" s="96"/>
      <c r="N17" s="96"/>
      <c r="W17" s="91"/>
      <c r="X17" s="161"/>
      <c r="Y17" s="162"/>
      <c r="Z17" s="161"/>
      <c r="AA17" s="161"/>
      <c r="AB17" s="161"/>
      <c r="AC17" s="161"/>
      <c r="AD17" s="161"/>
      <c r="AE17" s="161"/>
      <c r="AF17" s="161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</row>
    <row r="18" spans="1:42" x14ac:dyDescent="0.25">
      <c r="A18" s="96"/>
      <c r="B18" s="222">
        <f>93/4*1000000</f>
        <v>23250000</v>
      </c>
      <c r="C18" s="165">
        <f>63/4*1000000</f>
        <v>15750000</v>
      </c>
      <c r="D18" s="165">
        <f>108/4*1000000</f>
        <v>27000000</v>
      </c>
      <c r="E18" s="165">
        <f>62/4*1000000</f>
        <v>15500000</v>
      </c>
      <c r="F18" s="165">
        <f>91/4*1000000</f>
        <v>22750000</v>
      </c>
      <c r="G18" s="165">
        <f>33/4*1000000</f>
        <v>8250000</v>
      </c>
      <c r="H18" s="165">
        <f>60/4*1000000</f>
        <v>15000000</v>
      </c>
      <c r="I18" s="83">
        <f>34/4*1000000</f>
        <v>8500000</v>
      </c>
      <c r="J18" s="147">
        <f>34/4*1000000</f>
        <v>8500000</v>
      </c>
      <c r="K18" s="96"/>
      <c r="L18" s="83"/>
      <c r="M18" s="96"/>
      <c r="N18" s="96"/>
      <c r="W18" s="91"/>
      <c r="X18" s="161"/>
      <c r="Y18" s="162"/>
      <c r="Z18" s="161"/>
      <c r="AA18" s="161"/>
      <c r="AB18" s="161"/>
      <c r="AC18" s="161"/>
      <c r="AD18" s="161"/>
      <c r="AE18" s="161"/>
      <c r="AF18" s="161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</row>
    <row r="19" spans="1:42" x14ac:dyDescent="0.25">
      <c r="A19" s="96"/>
      <c r="B19" s="194">
        <f>79/4*1000000</f>
        <v>19750000</v>
      </c>
      <c r="C19" s="165">
        <f>116/4*1000000</f>
        <v>29000000</v>
      </c>
      <c r="D19" s="165">
        <f>126/4*1000000</f>
        <v>31500000</v>
      </c>
      <c r="E19" s="165">
        <f>130/4*1000000</f>
        <v>32500000</v>
      </c>
      <c r="F19" s="165">
        <f>126/4*1000000</f>
        <v>31500000</v>
      </c>
      <c r="G19" s="165">
        <f>29/4*1000000</f>
        <v>7250000</v>
      </c>
      <c r="H19" s="165">
        <f>50/4*1000000</f>
        <v>12500000</v>
      </c>
      <c r="I19" s="165">
        <f>71/4*1000000</f>
        <v>17750000</v>
      </c>
      <c r="J19" s="147">
        <f>106/4*1000000</f>
        <v>26500000</v>
      </c>
      <c r="K19" s="96"/>
      <c r="L19" s="83"/>
      <c r="M19" s="96"/>
      <c r="N19" s="96"/>
      <c r="W19" s="91"/>
      <c r="X19" s="161"/>
      <c r="Y19" s="162"/>
      <c r="Z19" s="161"/>
      <c r="AA19" s="161"/>
      <c r="AB19" s="161"/>
      <c r="AC19" s="161"/>
      <c r="AD19" s="161"/>
      <c r="AE19" s="161"/>
      <c r="AF19" s="161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</row>
    <row r="20" spans="1:42" x14ac:dyDescent="0.25">
      <c r="A20" s="96"/>
      <c r="B20" s="194">
        <f>80/4*1000000</f>
        <v>20000000</v>
      </c>
      <c r="C20" s="165">
        <f>99/4*1000000</f>
        <v>24750000</v>
      </c>
      <c r="D20" s="165">
        <f>62/4*1000000</f>
        <v>15500000</v>
      </c>
      <c r="E20" s="165">
        <f>90/4*1000000</f>
        <v>22500000</v>
      </c>
      <c r="F20" s="165">
        <f>145/4*1000000</f>
        <v>36250000</v>
      </c>
      <c r="G20" s="165">
        <f>42/4*1000000</f>
        <v>10500000</v>
      </c>
      <c r="H20" s="165">
        <f>30/4*1000000</f>
        <v>7500000</v>
      </c>
      <c r="I20" s="165">
        <f>74/4*1000000</f>
        <v>18500000</v>
      </c>
      <c r="J20" s="147">
        <f>57/4*1000000</f>
        <v>14250000</v>
      </c>
      <c r="K20" s="96"/>
      <c r="L20" s="83"/>
      <c r="M20" s="96"/>
      <c r="N20" s="96"/>
      <c r="W20" s="91"/>
      <c r="X20" s="161"/>
      <c r="Y20" s="162"/>
      <c r="Z20" s="161"/>
      <c r="AA20" s="161"/>
      <c r="AB20" s="161"/>
      <c r="AC20" s="161"/>
      <c r="AD20" s="161"/>
      <c r="AE20" s="161"/>
      <c r="AF20" s="161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</row>
    <row r="21" spans="1:42" x14ac:dyDescent="0.25">
      <c r="A21" s="96"/>
      <c r="B21" s="194">
        <f>71/4*1000000</f>
        <v>17750000</v>
      </c>
      <c r="C21" s="165">
        <f>107/4*1000000</f>
        <v>26750000</v>
      </c>
      <c r="D21" s="165">
        <f>114/4*1000000</f>
        <v>28500000</v>
      </c>
      <c r="E21" s="165">
        <f>107/4*1000000</f>
        <v>26750000</v>
      </c>
      <c r="F21" s="165">
        <f>37/4*1000000</f>
        <v>9250000</v>
      </c>
      <c r="G21" s="165">
        <f>127/4*1000000</f>
        <v>31750000</v>
      </c>
      <c r="H21" s="165">
        <f>37/4*1000000</f>
        <v>9250000</v>
      </c>
      <c r="I21" s="165">
        <f>51/4*1000000</f>
        <v>12750000</v>
      </c>
      <c r="J21" s="147">
        <f>51/4*1000000</f>
        <v>12750000</v>
      </c>
      <c r="K21" s="83"/>
      <c r="L21" s="83"/>
      <c r="M21" s="96"/>
      <c r="N21" s="96"/>
      <c r="W21" s="91"/>
      <c r="X21" s="161"/>
      <c r="Y21" s="162"/>
      <c r="Z21" s="161"/>
      <c r="AA21" s="161"/>
      <c r="AB21" s="161"/>
      <c r="AC21" s="161"/>
      <c r="AD21" s="161"/>
      <c r="AE21" s="161"/>
      <c r="AF21" s="161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</row>
    <row r="22" spans="1:42" x14ac:dyDescent="0.25">
      <c r="A22" s="96"/>
      <c r="B22" s="194">
        <f>105/4*1000000</f>
        <v>26250000</v>
      </c>
      <c r="C22" s="165">
        <f>52/4*1000000</f>
        <v>13000000</v>
      </c>
      <c r="D22" s="165">
        <f>60/4*1000000</f>
        <v>15000000</v>
      </c>
      <c r="E22" s="165">
        <f>153/4*1000000</f>
        <v>38250000</v>
      </c>
      <c r="F22" s="165">
        <f>34/4*1000000</f>
        <v>8500000</v>
      </c>
      <c r="G22" s="165">
        <f>104/4*1000000</f>
        <v>26000000</v>
      </c>
      <c r="H22" s="165">
        <f>50/4*1000000</f>
        <v>12500000</v>
      </c>
      <c r="I22" s="165">
        <f>74/4*1000000</f>
        <v>18500000</v>
      </c>
      <c r="J22" s="147">
        <f>54/4*1000000</f>
        <v>13500000</v>
      </c>
      <c r="K22" s="83"/>
      <c r="L22" s="83"/>
      <c r="M22" s="96"/>
      <c r="N22" s="96"/>
      <c r="W22" s="91"/>
      <c r="X22" s="161"/>
      <c r="Y22" s="162"/>
      <c r="Z22" s="161"/>
      <c r="AA22" s="161"/>
      <c r="AB22" s="161"/>
      <c r="AC22" s="161"/>
      <c r="AD22" s="161"/>
      <c r="AE22" s="161"/>
      <c r="AF22" s="161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</row>
    <row r="23" spans="1:42" x14ac:dyDescent="0.25">
      <c r="A23" s="96"/>
      <c r="B23" s="200">
        <f>125/4*1000000</f>
        <v>31250000</v>
      </c>
      <c r="C23" s="148">
        <f>32/4*1000000</f>
        <v>8000000</v>
      </c>
      <c r="D23" s="148">
        <f>106/4*1000000</f>
        <v>26500000</v>
      </c>
      <c r="E23" s="148">
        <f>112/4*1000000</f>
        <v>28000000</v>
      </c>
      <c r="F23" s="148">
        <f>36/4*1000000</f>
        <v>9000000</v>
      </c>
      <c r="G23" s="148">
        <f>138/4*1000000</f>
        <v>34500000</v>
      </c>
      <c r="H23" s="148">
        <f>35/4*1000000</f>
        <v>8750000</v>
      </c>
      <c r="I23" s="148">
        <f>63/4*1000000</f>
        <v>15750000</v>
      </c>
      <c r="J23" s="149">
        <f>57/4*1000000</f>
        <v>14250000</v>
      </c>
      <c r="K23" s="96"/>
      <c r="L23" s="83"/>
      <c r="M23" s="96"/>
      <c r="N23" s="96"/>
      <c r="W23" s="91"/>
      <c r="X23" s="161"/>
      <c r="Y23" s="162"/>
      <c r="Z23" s="161"/>
      <c r="AA23" s="161"/>
      <c r="AB23" s="161"/>
      <c r="AC23" s="161"/>
      <c r="AD23" s="161"/>
      <c r="AE23" s="161"/>
      <c r="AF23" s="161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</row>
    <row r="24" spans="1:42" x14ac:dyDescent="0.25">
      <c r="A24" s="96"/>
      <c r="B24" s="96"/>
      <c r="C24" s="210"/>
      <c r="D24" s="210"/>
      <c r="E24" s="210"/>
      <c r="F24" s="210"/>
      <c r="G24" s="210"/>
      <c r="H24" s="83"/>
      <c r="I24" s="210"/>
      <c r="J24" s="210"/>
      <c r="K24" s="96"/>
      <c r="L24" s="83"/>
      <c r="M24" s="96"/>
      <c r="N24" s="96"/>
      <c r="W24" s="35"/>
      <c r="X24" s="25"/>
      <c r="Y24" s="25"/>
      <c r="Z24" s="25"/>
      <c r="AA24" s="25"/>
      <c r="AB24" s="25"/>
      <c r="AC24" s="25"/>
      <c r="AD24" s="25"/>
      <c r="AE24" s="25"/>
      <c r="AF24" s="25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</row>
    <row r="25" spans="1:42" x14ac:dyDescent="0.25">
      <c r="A25" s="96"/>
      <c r="B25" s="96"/>
      <c r="C25" s="210"/>
      <c r="D25" s="210"/>
      <c r="E25" s="83"/>
      <c r="F25" s="210"/>
      <c r="G25" s="210"/>
      <c r="H25" s="210"/>
      <c r="I25" s="83"/>
      <c r="J25" s="83"/>
      <c r="K25" s="165"/>
      <c r="L25" s="83"/>
      <c r="M25" s="96"/>
      <c r="N25" s="96"/>
      <c r="W25" s="35"/>
      <c r="X25" s="25"/>
      <c r="Y25" s="25"/>
      <c r="Z25" s="25"/>
      <c r="AA25" s="25"/>
      <c r="AB25" s="25"/>
      <c r="AC25" s="25"/>
      <c r="AD25" s="25"/>
      <c r="AE25" s="25"/>
      <c r="AF25" s="25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</row>
    <row r="26" spans="1:42" x14ac:dyDescent="0.25">
      <c r="A26" s="96"/>
      <c r="B26" s="165"/>
      <c r="C26" s="210"/>
      <c r="D26" s="83"/>
      <c r="E26" s="83"/>
      <c r="F26" s="210"/>
      <c r="G26" s="210"/>
      <c r="H26" s="210"/>
      <c r="I26" s="210"/>
      <c r="J26" s="210"/>
      <c r="K26" s="96"/>
      <c r="L26" s="83"/>
      <c r="M26" s="96"/>
      <c r="N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</row>
    <row r="27" spans="1:42" x14ac:dyDescent="0.25">
      <c r="A27" s="96"/>
      <c r="B27" s="96"/>
      <c r="C27" s="210"/>
      <c r="D27" s="210"/>
      <c r="E27" s="210"/>
      <c r="F27" s="83"/>
      <c r="G27" s="83"/>
      <c r="H27" s="210"/>
      <c r="I27" s="83"/>
      <c r="J27" s="210"/>
      <c r="K27" s="96"/>
      <c r="L27" s="83"/>
      <c r="M27" s="96"/>
      <c r="N27" s="96"/>
      <c r="W27" s="8"/>
      <c r="X27" s="8"/>
      <c r="Y27" s="8"/>
      <c r="Z27" s="8"/>
      <c r="AA27" s="8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</row>
    <row r="28" spans="1:42" x14ac:dyDescent="0.25">
      <c r="A28" s="96"/>
      <c r="B28" s="165"/>
      <c r="C28" s="210"/>
      <c r="D28" s="210"/>
      <c r="E28" s="210"/>
      <c r="F28" s="210"/>
      <c r="G28" s="210"/>
      <c r="H28" s="210"/>
      <c r="I28" s="210"/>
      <c r="J28" s="210"/>
      <c r="K28" s="96"/>
      <c r="L28" s="83"/>
      <c r="M28" s="96"/>
      <c r="N28" s="96"/>
      <c r="W28" s="8"/>
      <c r="X28" s="8"/>
      <c r="Y28" s="8"/>
      <c r="Z28" s="8"/>
      <c r="AA28" s="8"/>
      <c r="AG28" s="98"/>
      <c r="AH28" s="99"/>
      <c r="AI28" s="99"/>
      <c r="AJ28" s="99"/>
      <c r="AK28" s="99"/>
      <c r="AL28" s="99"/>
      <c r="AM28" s="96"/>
      <c r="AN28" s="96"/>
      <c r="AO28" s="96"/>
      <c r="AP28" s="96"/>
    </row>
    <row r="29" spans="1:42" x14ac:dyDescent="0.25">
      <c r="A29" s="96"/>
      <c r="B29" s="165"/>
      <c r="C29" s="83"/>
      <c r="D29" s="83"/>
      <c r="E29" s="210"/>
      <c r="F29" s="83"/>
      <c r="G29" s="83"/>
      <c r="H29" s="210"/>
      <c r="I29" s="83"/>
      <c r="J29" s="83"/>
      <c r="K29" s="165"/>
      <c r="L29" s="83"/>
      <c r="M29" s="96"/>
      <c r="N29" s="96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8"/>
      <c r="AH29" s="99"/>
      <c r="AI29" s="99"/>
      <c r="AJ29" s="99"/>
      <c r="AK29" s="99"/>
      <c r="AL29" s="99"/>
      <c r="AM29" s="96"/>
      <c r="AN29" s="96"/>
      <c r="AO29" s="96"/>
      <c r="AP29" s="96"/>
    </row>
    <row r="30" spans="1:42" x14ac:dyDescent="0.25">
      <c r="A30" s="96"/>
      <c r="B30" s="96"/>
      <c r="C30" s="210"/>
      <c r="D30" s="210"/>
      <c r="E30" s="210"/>
      <c r="F30" s="210"/>
      <c r="G30" s="210"/>
      <c r="H30" s="83"/>
      <c r="I30" s="210"/>
      <c r="J30" s="210"/>
      <c r="K30" s="96"/>
      <c r="L30" s="83"/>
      <c r="M30" s="96"/>
      <c r="N30" s="96"/>
      <c r="W30" s="8"/>
      <c r="X30" s="8"/>
      <c r="Y30" s="8"/>
      <c r="Z30" s="8"/>
      <c r="AA30" s="8"/>
      <c r="AG30" s="98"/>
      <c r="AH30" s="99"/>
      <c r="AI30" s="99"/>
      <c r="AJ30" s="99"/>
      <c r="AK30" s="99"/>
      <c r="AL30" s="99"/>
      <c r="AM30" s="96"/>
      <c r="AN30" s="96"/>
      <c r="AO30" s="96"/>
      <c r="AP30" s="96"/>
    </row>
    <row r="31" spans="1:42" x14ac:dyDescent="0.25">
      <c r="A31" s="96"/>
      <c r="B31" s="96"/>
      <c r="C31" s="210"/>
      <c r="D31" s="210"/>
      <c r="E31" s="210"/>
      <c r="F31" s="210"/>
      <c r="G31" s="210"/>
      <c r="H31" s="210"/>
      <c r="I31" s="210"/>
      <c r="J31" s="210"/>
      <c r="K31" s="96"/>
      <c r="L31" s="83"/>
      <c r="M31" s="96"/>
      <c r="N31" s="96"/>
      <c r="W31" s="8"/>
      <c r="X31" s="8"/>
      <c r="Y31" s="8"/>
      <c r="Z31" s="8"/>
      <c r="AA31" s="8"/>
      <c r="AG31" s="98"/>
      <c r="AH31" s="99"/>
      <c r="AI31" s="99"/>
      <c r="AJ31" s="99"/>
      <c r="AK31" s="99"/>
      <c r="AL31" s="99"/>
      <c r="AM31" s="96"/>
      <c r="AN31" s="96"/>
      <c r="AO31" s="96"/>
      <c r="AP31" s="96"/>
    </row>
    <row r="32" spans="1:42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W32" s="8"/>
      <c r="X32" s="8"/>
      <c r="Y32" s="8"/>
      <c r="Z32" s="8"/>
      <c r="AA32" s="8"/>
      <c r="AG32" s="98"/>
      <c r="AH32" s="99"/>
      <c r="AI32" s="99"/>
      <c r="AJ32" s="99"/>
      <c r="AK32" s="99"/>
      <c r="AL32" s="99"/>
      <c r="AM32" s="96"/>
      <c r="AN32" s="96"/>
      <c r="AO32" s="96"/>
      <c r="AP32" s="96"/>
    </row>
    <row r="33" spans="1:42" x14ac:dyDescent="0.25">
      <c r="A33" s="96"/>
      <c r="B33" s="221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S33" s="160"/>
      <c r="W33" s="8"/>
      <c r="X33" s="8"/>
      <c r="Y33" s="8"/>
      <c r="Z33" s="8"/>
      <c r="AA33" s="8"/>
      <c r="AG33" s="98"/>
      <c r="AH33" s="99"/>
      <c r="AI33" s="99"/>
      <c r="AJ33" s="99"/>
      <c r="AK33" s="99"/>
      <c r="AL33" s="99"/>
      <c r="AM33" s="96"/>
      <c r="AN33" s="96"/>
      <c r="AO33" s="96"/>
      <c r="AP33" s="96"/>
    </row>
    <row r="34" spans="1:42" x14ac:dyDescent="0.25">
      <c r="A34" s="96"/>
      <c r="B34" s="221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W34" s="8"/>
      <c r="X34" s="8"/>
      <c r="Y34" s="8"/>
      <c r="Z34" s="8"/>
      <c r="AA34" s="8"/>
      <c r="AG34" s="98"/>
      <c r="AH34" s="99"/>
      <c r="AI34" s="99"/>
      <c r="AJ34" s="99"/>
      <c r="AK34" s="99"/>
      <c r="AL34" s="99"/>
      <c r="AM34" s="96"/>
      <c r="AN34" s="96"/>
      <c r="AO34" s="96"/>
      <c r="AP34" s="96"/>
    </row>
    <row r="35" spans="1:42" x14ac:dyDescent="0.25">
      <c r="A35" s="96"/>
      <c r="B35" s="221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W35" s="8"/>
      <c r="X35" s="8"/>
      <c r="Y35" s="8"/>
      <c r="Z35" s="8"/>
      <c r="AA35" s="8"/>
      <c r="AG35" s="98"/>
      <c r="AH35" s="99"/>
      <c r="AI35" s="99"/>
      <c r="AJ35" s="99"/>
      <c r="AK35" s="99"/>
      <c r="AL35" s="99"/>
      <c r="AM35" s="96"/>
      <c r="AN35" s="96"/>
      <c r="AO35" s="96"/>
      <c r="AP35" s="96"/>
    </row>
    <row r="36" spans="1:42" x14ac:dyDescent="0.25">
      <c r="C36" s="75"/>
      <c r="W36" s="8"/>
      <c r="X36" s="8"/>
      <c r="Y36" s="8"/>
      <c r="Z36" s="8"/>
      <c r="AA36" s="8"/>
      <c r="AG36" s="98"/>
      <c r="AH36" s="99"/>
      <c r="AI36" s="99"/>
      <c r="AJ36" s="99"/>
      <c r="AK36" s="99"/>
      <c r="AL36" s="99"/>
      <c r="AM36" s="96"/>
      <c r="AN36" s="96"/>
      <c r="AO36" s="96"/>
      <c r="AP36" s="96"/>
    </row>
    <row r="37" spans="1:42" x14ac:dyDescent="0.25">
      <c r="C37" s="75"/>
      <c r="W37" s="8"/>
      <c r="X37" s="8"/>
      <c r="Y37" s="8"/>
      <c r="Z37" s="8"/>
      <c r="AA37" s="8"/>
      <c r="AG37" s="98"/>
      <c r="AH37" s="99"/>
      <c r="AI37" s="99"/>
      <c r="AJ37" s="99"/>
      <c r="AK37" s="99"/>
      <c r="AL37" s="99"/>
      <c r="AM37" s="96"/>
      <c r="AN37" s="96"/>
      <c r="AO37" s="96"/>
      <c r="AP37" s="96"/>
    </row>
    <row r="38" spans="1:42" x14ac:dyDescent="0.25">
      <c r="C38" s="75"/>
      <c r="W38" s="8"/>
      <c r="X38" s="8"/>
      <c r="Y38" s="8"/>
      <c r="Z38" s="8"/>
      <c r="AA38" s="8"/>
      <c r="AG38" s="98"/>
      <c r="AH38" s="99"/>
      <c r="AI38" s="99"/>
      <c r="AJ38" s="99"/>
      <c r="AK38" s="99"/>
      <c r="AL38" s="99"/>
      <c r="AM38" s="96"/>
      <c r="AN38" s="96"/>
      <c r="AO38" s="96"/>
      <c r="AP38" s="96"/>
    </row>
    <row r="39" spans="1:42" x14ac:dyDescent="0.25">
      <c r="C39" s="75"/>
      <c r="W39" s="8"/>
      <c r="X39" s="8"/>
      <c r="Y39" s="8"/>
      <c r="Z39" s="8"/>
      <c r="AA39" s="8"/>
      <c r="AG39" s="98"/>
      <c r="AH39" s="99"/>
      <c r="AI39" s="99"/>
      <c r="AJ39" s="99"/>
      <c r="AK39" s="99"/>
      <c r="AL39" s="99"/>
      <c r="AM39" s="96"/>
      <c r="AN39" s="96"/>
      <c r="AO39" s="96"/>
      <c r="AP39" s="96"/>
    </row>
    <row r="40" spans="1:42" x14ac:dyDescent="0.25">
      <c r="C40" s="75"/>
      <c r="AG40" s="98"/>
      <c r="AH40" s="99"/>
      <c r="AI40" s="99"/>
      <c r="AJ40" s="99"/>
      <c r="AK40" s="99"/>
      <c r="AL40" s="99"/>
      <c r="AM40" s="96"/>
      <c r="AN40" s="96"/>
      <c r="AO40" s="96"/>
      <c r="AP40" s="96"/>
    </row>
    <row r="41" spans="1:42" x14ac:dyDescent="0.25">
      <c r="C41" s="75"/>
      <c r="W41" s="35"/>
      <c r="X41" s="25"/>
      <c r="Y41" s="25"/>
      <c r="Z41" s="25"/>
      <c r="AA41" s="25"/>
      <c r="AB41" s="25"/>
      <c r="AG41" s="98"/>
      <c r="AH41" s="99"/>
      <c r="AI41" s="99"/>
      <c r="AJ41" s="99"/>
      <c r="AK41" s="99"/>
      <c r="AL41" s="99"/>
      <c r="AM41" s="96"/>
      <c r="AN41" s="96"/>
      <c r="AO41" s="96"/>
      <c r="AP41" s="96"/>
    </row>
    <row r="42" spans="1:42" x14ac:dyDescent="0.25">
      <c r="C42" s="75"/>
      <c r="W42" s="35"/>
      <c r="X42" s="25"/>
      <c r="Y42" s="25"/>
      <c r="Z42" s="25"/>
      <c r="AA42" s="25"/>
      <c r="AB42" s="25"/>
      <c r="AG42" s="98"/>
      <c r="AH42" s="99"/>
      <c r="AI42" s="99"/>
      <c r="AJ42" s="99"/>
      <c r="AK42" s="99"/>
      <c r="AL42" s="99"/>
      <c r="AM42" s="96"/>
      <c r="AN42" s="96"/>
      <c r="AO42" s="96"/>
      <c r="AP42" s="96"/>
    </row>
    <row r="43" spans="1:42" x14ac:dyDescent="0.25">
      <c r="C43" s="75"/>
      <c r="W43" s="35"/>
      <c r="X43" s="25"/>
      <c r="Y43" s="25"/>
      <c r="Z43" s="25"/>
      <c r="AA43" s="25"/>
      <c r="AB43" s="25"/>
      <c r="AG43" s="98"/>
      <c r="AH43" s="99"/>
      <c r="AI43" s="99"/>
      <c r="AJ43" s="99"/>
      <c r="AK43" s="99"/>
      <c r="AL43" s="99"/>
      <c r="AM43" s="96"/>
      <c r="AN43" s="96"/>
      <c r="AO43" s="96"/>
      <c r="AP43" s="96"/>
    </row>
    <row r="44" spans="1:42" x14ac:dyDescent="0.25">
      <c r="C44" s="75"/>
      <c r="W44" s="35"/>
      <c r="X44" s="25"/>
      <c r="Y44" s="25"/>
      <c r="Z44" s="25"/>
      <c r="AA44" s="25"/>
      <c r="AB44" s="25"/>
      <c r="AG44" s="98"/>
      <c r="AH44" s="99"/>
      <c r="AI44" s="99"/>
      <c r="AJ44" s="99"/>
      <c r="AK44" s="99"/>
      <c r="AL44" s="99"/>
      <c r="AM44" s="96"/>
      <c r="AN44" s="96"/>
      <c r="AO44" s="96"/>
      <c r="AP44" s="96"/>
    </row>
    <row r="45" spans="1:42" x14ac:dyDescent="0.25">
      <c r="C45" s="75"/>
      <c r="W45" s="35"/>
      <c r="X45" s="25"/>
      <c r="Y45" s="25"/>
      <c r="Z45" s="25"/>
      <c r="AA45" s="25"/>
      <c r="AB45" s="25"/>
      <c r="AG45" s="98"/>
      <c r="AH45" s="99"/>
      <c r="AI45" s="99"/>
      <c r="AJ45" s="99"/>
      <c r="AK45" s="99"/>
      <c r="AL45" s="99"/>
      <c r="AM45" s="96"/>
      <c r="AN45" s="96"/>
      <c r="AO45" s="96"/>
      <c r="AP45" s="96"/>
    </row>
    <row r="46" spans="1:42" x14ac:dyDescent="0.25">
      <c r="C46" s="75"/>
      <c r="W46" s="35"/>
      <c r="X46" s="25"/>
      <c r="Y46" s="25"/>
      <c r="Z46" s="25"/>
      <c r="AA46" s="25"/>
      <c r="AB46" s="25"/>
      <c r="AG46" s="98"/>
      <c r="AH46" s="99"/>
      <c r="AI46" s="99"/>
      <c r="AJ46" s="99"/>
      <c r="AK46" s="99"/>
      <c r="AL46" s="99"/>
      <c r="AM46" s="96"/>
      <c r="AN46" s="96"/>
      <c r="AO46" s="96"/>
      <c r="AP46" s="96"/>
    </row>
    <row r="47" spans="1:42" x14ac:dyDescent="0.25">
      <c r="C47" s="75"/>
      <c r="W47" s="35"/>
      <c r="X47" s="25"/>
      <c r="Y47" s="25"/>
      <c r="Z47" s="25"/>
      <c r="AA47" s="25"/>
      <c r="AB47" s="25"/>
      <c r="AG47" s="98"/>
      <c r="AH47" s="99"/>
      <c r="AI47" s="99"/>
      <c r="AJ47" s="99"/>
      <c r="AK47" s="99"/>
      <c r="AL47" s="99"/>
      <c r="AM47" s="96"/>
      <c r="AN47" s="96"/>
      <c r="AO47" s="96"/>
      <c r="AP47" s="96"/>
    </row>
    <row r="48" spans="1:42" x14ac:dyDescent="0.25">
      <c r="C48" s="75"/>
      <c r="W48" s="35"/>
      <c r="X48" s="25"/>
      <c r="Y48" s="25"/>
      <c r="Z48" s="25"/>
      <c r="AA48" s="25"/>
      <c r="AB48" s="25"/>
      <c r="AG48" s="98"/>
      <c r="AH48" s="99"/>
      <c r="AI48" s="99"/>
      <c r="AJ48" s="99"/>
      <c r="AK48" s="99"/>
      <c r="AL48" s="99"/>
      <c r="AM48" s="96"/>
      <c r="AN48" s="96"/>
      <c r="AO48" s="96"/>
      <c r="AP48" s="96"/>
    </row>
    <row r="49" spans="3:45" x14ac:dyDescent="0.25">
      <c r="C49" s="75"/>
      <c r="W49" s="35"/>
      <c r="X49" s="25"/>
      <c r="Y49" s="25"/>
      <c r="Z49" s="25"/>
      <c r="AA49" s="25"/>
      <c r="AB49" s="25"/>
      <c r="AG49" s="98"/>
      <c r="AH49" s="99"/>
      <c r="AI49" s="99"/>
      <c r="AJ49" s="99"/>
      <c r="AK49" s="99"/>
      <c r="AL49" s="99"/>
      <c r="AM49" s="96"/>
      <c r="AN49" s="96"/>
      <c r="AO49" s="96"/>
      <c r="AP49" s="96"/>
    </row>
    <row r="50" spans="3:45" x14ac:dyDescent="0.25">
      <c r="C50" s="75"/>
      <c r="W50" s="35"/>
      <c r="X50" s="25"/>
      <c r="Y50" s="25"/>
      <c r="Z50" s="25"/>
      <c r="AA50" s="25"/>
      <c r="AB50" s="25"/>
      <c r="AG50" s="98"/>
      <c r="AH50" s="99"/>
      <c r="AI50" s="99"/>
      <c r="AJ50" s="99"/>
      <c r="AK50" s="99"/>
      <c r="AL50" s="99"/>
      <c r="AM50" s="96"/>
      <c r="AN50" s="96"/>
      <c r="AO50" s="96"/>
      <c r="AP50" s="96"/>
    </row>
    <row r="51" spans="3:45" x14ac:dyDescent="0.25">
      <c r="C51" s="75"/>
      <c r="W51" s="35"/>
      <c r="X51" s="25"/>
      <c r="Y51" s="25"/>
      <c r="Z51" s="25"/>
      <c r="AA51" s="25"/>
      <c r="AB51" s="25"/>
      <c r="AG51" s="98"/>
      <c r="AH51" s="99"/>
      <c r="AI51" s="99"/>
      <c r="AJ51" s="99"/>
      <c r="AK51" s="99"/>
      <c r="AL51" s="99"/>
      <c r="AM51" s="96"/>
      <c r="AN51" s="96"/>
      <c r="AO51" s="96"/>
      <c r="AP51" s="96"/>
    </row>
    <row r="52" spans="3:45" x14ac:dyDescent="0.25">
      <c r="C52" s="75"/>
      <c r="W52" s="35"/>
      <c r="X52" s="25"/>
      <c r="Y52" s="25"/>
      <c r="Z52" s="25"/>
      <c r="AA52" s="25"/>
      <c r="AB52" s="25"/>
      <c r="AG52" s="98"/>
      <c r="AH52" s="99"/>
      <c r="AI52" s="99"/>
      <c r="AJ52" s="99"/>
      <c r="AK52" s="99"/>
      <c r="AL52" s="99"/>
      <c r="AM52" s="96"/>
      <c r="AN52" s="96"/>
      <c r="AO52" s="96"/>
      <c r="AP52" s="96"/>
    </row>
    <row r="53" spans="3:45" x14ac:dyDescent="0.25">
      <c r="C53" s="75"/>
      <c r="W53" s="35"/>
      <c r="X53" s="25"/>
      <c r="Y53" s="25"/>
      <c r="Z53" s="25"/>
      <c r="AA53" s="25"/>
      <c r="AB53" s="25"/>
      <c r="AG53" s="98"/>
      <c r="AH53" s="99"/>
      <c r="AI53" s="99"/>
      <c r="AJ53" s="99"/>
      <c r="AK53" s="99"/>
      <c r="AL53" s="99"/>
      <c r="AM53" s="96"/>
      <c r="AN53" s="96"/>
      <c r="AO53" s="96"/>
      <c r="AP53" s="96"/>
    </row>
    <row r="54" spans="3:45" x14ac:dyDescent="0.25">
      <c r="C54" s="75"/>
      <c r="W54" s="35"/>
      <c r="X54" s="25"/>
      <c r="Y54" s="25"/>
      <c r="Z54" s="25"/>
      <c r="AA54" s="25"/>
      <c r="AB54" s="25"/>
      <c r="AG54" s="98"/>
      <c r="AH54" s="99"/>
      <c r="AI54" s="99"/>
      <c r="AJ54" s="99"/>
      <c r="AK54" s="99"/>
      <c r="AL54" s="99"/>
      <c r="AM54" s="96"/>
      <c r="AN54" s="96"/>
      <c r="AO54" s="96"/>
      <c r="AP54" s="96"/>
      <c r="AS54" s="55"/>
    </row>
    <row r="55" spans="3:45" x14ac:dyDescent="0.25">
      <c r="C55" s="75"/>
      <c r="W55" s="35"/>
      <c r="X55" s="25"/>
      <c r="Y55" s="25"/>
      <c r="Z55" s="25"/>
      <c r="AA55" s="25"/>
      <c r="AB55" s="25"/>
      <c r="AG55" s="98"/>
      <c r="AH55" s="99"/>
      <c r="AI55" s="99"/>
      <c r="AJ55" s="99"/>
      <c r="AK55" s="99"/>
      <c r="AL55" s="99"/>
      <c r="AM55" s="96"/>
      <c r="AN55" s="96"/>
      <c r="AO55" s="96"/>
      <c r="AP55" s="96"/>
    </row>
    <row r="56" spans="3:45" x14ac:dyDescent="0.25">
      <c r="W56" s="35"/>
      <c r="X56" s="25"/>
      <c r="Y56" s="25"/>
      <c r="Z56" s="25"/>
      <c r="AA56" s="25"/>
      <c r="AB56" s="25"/>
      <c r="AG56" s="98"/>
      <c r="AH56" s="99"/>
      <c r="AI56" s="99"/>
      <c r="AJ56" s="99"/>
      <c r="AK56" s="99"/>
      <c r="AL56" s="99"/>
      <c r="AM56" s="96"/>
      <c r="AN56" s="96"/>
      <c r="AO56" s="96"/>
      <c r="AP56" s="96"/>
    </row>
    <row r="57" spans="3:45" x14ac:dyDescent="0.25">
      <c r="W57" s="35"/>
      <c r="X57" s="25"/>
      <c r="Y57" s="25"/>
      <c r="Z57" s="25"/>
      <c r="AA57" s="25"/>
      <c r="AB57" s="25"/>
      <c r="AG57" s="98"/>
      <c r="AH57" s="99"/>
      <c r="AI57" s="99"/>
      <c r="AJ57" s="99"/>
      <c r="AK57" s="99"/>
      <c r="AL57" s="99"/>
      <c r="AM57" s="99"/>
      <c r="AN57" s="99"/>
      <c r="AO57" s="99"/>
      <c r="AP57" s="96"/>
    </row>
    <row r="58" spans="3:45" x14ac:dyDescent="0.25">
      <c r="W58" s="35"/>
      <c r="X58" s="25"/>
      <c r="Y58" s="25"/>
      <c r="Z58" s="25"/>
      <c r="AA58" s="25"/>
      <c r="AB58" s="25"/>
      <c r="AG58" s="98"/>
      <c r="AH58" s="99"/>
      <c r="AI58" s="99"/>
      <c r="AJ58" s="99"/>
      <c r="AK58" s="99"/>
      <c r="AL58" s="99"/>
      <c r="AM58" s="99"/>
      <c r="AN58" s="99"/>
      <c r="AO58" s="99"/>
      <c r="AP58" s="96"/>
    </row>
    <row r="59" spans="3:45" x14ac:dyDescent="0.25">
      <c r="W59" s="35"/>
      <c r="X59" s="25"/>
      <c r="Y59" s="25"/>
      <c r="Z59" s="25"/>
      <c r="AA59" s="25"/>
      <c r="AB59" s="25"/>
      <c r="AG59" s="98"/>
      <c r="AH59" s="99"/>
      <c r="AI59" s="99"/>
      <c r="AJ59" s="99"/>
      <c r="AK59" s="99"/>
      <c r="AL59" s="99"/>
      <c r="AM59" s="99"/>
      <c r="AN59" s="99"/>
      <c r="AO59" s="99"/>
      <c r="AP59" s="96"/>
    </row>
    <row r="60" spans="3:45" x14ac:dyDescent="0.25">
      <c r="W60" s="35"/>
      <c r="X60" s="25"/>
      <c r="Y60" s="25"/>
      <c r="Z60" s="25"/>
      <c r="AA60" s="25"/>
      <c r="AB60" s="25"/>
      <c r="AG60" s="98"/>
      <c r="AH60" s="99"/>
      <c r="AI60" s="99"/>
      <c r="AJ60" s="99"/>
      <c r="AK60" s="99"/>
      <c r="AL60" s="99"/>
      <c r="AM60" s="99"/>
      <c r="AN60" s="99"/>
      <c r="AO60" s="99"/>
      <c r="AP60" s="96"/>
    </row>
    <row r="61" spans="3:45" x14ac:dyDescent="0.25">
      <c r="W61" s="35"/>
      <c r="X61" s="25"/>
      <c r="Y61" s="25"/>
      <c r="Z61" s="25"/>
      <c r="AA61" s="25"/>
      <c r="AB61" s="25"/>
      <c r="AG61" s="98"/>
      <c r="AH61" s="99"/>
      <c r="AI61" s="99"/>
      <c r="AJ61" s="99"/>
      <c r="AK61" s="99"/>
      <c r="AL61" s="99"/>
      <c r="AM61" s="99"/>
      <c r="AN61" s="99"/>
      <c r="AO61" s="99"/>
      <c r="AP61" s="96"/>
    </row>
    <row r="62" spans="3:45" x14ac:dyDescent="0.25">
      <c r="W62" s="35"/>
      <c r="X62" s="25"/>
      <c r="Y62" s="25"/>
      <c r="Z62" s="25"/>
      <c r="AA62" s="25"/>
      <c r="AB62" s="25"/>
      <c r="AG62" s="98"/>
      <c r="AH62" s="99"/>
      <c r="AI62" s="99"/>
      <c r="AJ62" s="99"/>
      <c r="AK62" s="99"/>
      <c r="AL62" s="99"/>
      <c r="AM62" s="99"/>
      <c r="AN62" s="99"/>
      <c r="AO62" s="99"/>
      <c r="AP62" s="96"/>
    </row>
    <row r="63" spans="3:45" x14ac:dyDescent="0.25">
      <c r="W63" s="35"/>
      <c r="X63" s="25"/>
      <c r="Y63" s="25"/>
      <c r="Z63" s="25"/>
      <c r="AA63" s="25"/>
      <c r="AB63" s="25"/>
      <c r="AG63" s="98"/>
      <c r="AH63" s="99"/>
      <c r="AI63" s="99"/>
      <c r="AJ63" s="99"/>
      <c r="AK63" s="99"/>
      <c r="AL63" s="99"/>
      <c r="AM63" s="99"/>
      <c r="AN63" s="99"/>
      <c r="AO63" s="99"/>
      <c r="AP63" s="96"/>
    </row>
    <row r="64" spans="3:45" x14ac:dyDescent="0.25">
      <c r="W64" s="35"/>
      <c r="X64" s="25"/>
      <c r="Y64" s="25"/>
      <c r="Z64" s="25"/>
      <c r="AA64" s="25"/>
      <c r="AB64" s="25"/>
      <c r="AG64" s="98"/>
      <c r="AH64" s="99"/>
      <c r="AI64" s="99"/>
      <c r="AJ64" s="99"/>
      <c r="AK64" s="99"/>
      <c r="AL64" s="99"/>
      <c r="AM64" s="99"/>
      <c r="AN64" s="99"/>
      <c r="AO64" s="99"/>
      <c r="AP64" s="96"/>
    </row>
    <row r="65" spans="23:42" x14ac:dyDescent="0.25">
      <c r="W65" s="35"/>
      <c r="X65" s="25"/>
      <c r="Y65" s="25"/>
      <c r="Z65" s="25"/>
      <c r="AA65" s="25"/>
      <c r="AB65" s="25"/>
      <c r="AG65" s="98"/>
      <c r="AH65" s="99"/>
      <c r="AI65" s="99"/>
      <c r="AJ65" s="99"/>
      <c r="AK65" s="99"/>
      <c r="AL65" s="99"/>
      <c r="AM65" s="99"/>
      <c r="AN65" s="99"/>
      <c r="AO65" s="99"/>
      <c r="AP65" s="96"/>
    </row>
    <row r="66" spans="23:42" x14ac:dyDescent="0.25">
      <c r="W66" s="35"/>
      <c r="X66" s="25"/>
      <c r="Y66" s="25"/>
      <c r="Z66" s="25"/>
      <c r="AA66" s="25"/>
      <c r="AB66" s="25"/>
      <c r="AG66" s="98"/>
      <c r="AH66" s="99"/>
      <c r="AI66" s="99"/>
      <c r="AJ66" s="99"/>
      <c r="AK66" s="99"/>
      <c r="AL66" s="99"/>
      <c r="AM66" s="99"/>
      <c r="AN66" s="99"/>
      <c r="AO66" s="99"/>
      <c r="AP66" s="96"/>
    </row>
    <row r="67" spans="23:42" x14ac:dyDescent="0.25">
      <c r="AG67" s="98"/>
      <c r="AH67" s="99"/>
      <c r="AI67" s="99"/>
      <c r="AJ67" s="99"/>
      <c r="AK67" s="99"/>
      <c r="AL67" s="99"/>
      <c r="AM67" s="99"/>
      <c r="AN67" s="99"/>
      <c r="AO67" s="99"/>
      <c r="AP67" s="96"/>
    </row>
    <row r="68" spans="23:42" x14ac:dyDescent="0.25">
      <c r="AG68" s="98"/>
      <c r="AH68" s="99"/>
      <c r="AI68" s="99"/>
      <c r="AJ68" s="99"/>
      <c r="AK68" s="99"/>
      <c r="AL68" s="99"/>
      <c r="AM68" s="99"/>
      <c r="AN68" s="99"/>
      <c r="AO68" s="99"/>
      <c r="AP68" s="96"/>
    </row>
    <row r="69" spans="23:42" x14ac:dyDescent="0.25">
      <c r="AG69" s="98"/>
      <c r="AH69" s="99"/>
      <c r="AI69" s="99"/>
      <c r="AJ69" s="99"/>
      <c r="AK69" s="99"/>
      <c r="AL69" s="99"/>
      <c r="AM69" s="99"/>
      <c r="AN69" s="99"/>
      <c r="AO69" s="99"/>
      <c r="AP69" s="96"/>
    </row>
    <row r="70" spans="23:42" x14ac:dyDescent="0.25">
      <c r="AG70" s="98"/>
      <c r="AH70" s="99"/>
      <c r="AI70" s="99"/>
      <c r="AJ70" s="99"/>
      <c r="AK70" s="99"/>
      <c r="AL70" s="99"/>
      <c r="AM70" s="99"/>
      <c r="AN70" s="99"/>
      <c r="AO70" s="99"/>
      <c r="AP70" s="96"/>
    </row>
    <row r="71" spans="23:42" x14ac:dyDescent="0.25">
      <c r="AG71" s="98"/>
      <c r="AH71" s="99"/>
      <c r="AI71" s="99"/>
      <c r="AJ71" s="99"/>
      <c r="AK71" s="99"/>
      <c r="AL71" s="99"/>
      <c r="AM71" s="99"/>
      <c r="AN71" s="99"/>
      <c r="AO71" s="99"/>
      <c r="AP71" s="96"/>
    </row>
    <row r="72" spans="23:42" x14ac:dyDescent="0.25">
      <c r="AG72" s="98"/>
      <c r="AH72" s="99"/>
      <c r="AI72" s="99"/>
      <c r="AJ72" s="99"/>
      <c r="AK72" s="99"/>
      <c r="AL72" s="99"/>
      <c r="AM72" s="99"/>
      <c r="AN72" s="99"/>
      <c r="AO72" s="99"/>
      <c r="AP72" s="96"/>
    </row>
    <row r="73" spans="23:42" x14ac:dyDescent="0.25">
      <c r="AG73" s="98"/>
      <c r="AH73" s="99"/>
      <c r="AI73" s="99"/>
      <c r="AJ73" s="99"/>
      <c r="AK73" s="99"/>
      <c r="AL73" s="99"/>
      <c r="AM73" s="99"/>
      <c r="AN73" s="99"/>
      <c r="AO73" s="99"/>
      <c r="AP73" s="96"/>
    </row>
    <row r="74" spans="23:42" x14ac:dyDescent="0.25">
      <c r="AG74" s="98"/>
      <c r="AH74" s="99"/>
      <c r="AI74" s="99"/>
      <c r="AJ74" s="99"/>
      <c r="AK74" s="99"/>
      <c r="AL74" s="99"/>
      <c r="AM74" s="99"/>
      <c r="AN74" s="99"/>
      <c r="AO74" s="99"/>
      <c r="AP74" s="96"/>
    </row>
    <row r="75" spans="23:42" x14ac:dyDescent="0.25">
      <c r="AG75" s="98"/>
      <c r="AH75" s="99"/>
      <c r="AI75" s="99"/>
      <c r="AJ75" s="99"/>
      <c r="AK75" s="99"/>
      <c r="AL75" s="99"/>
      <c r="AM75" s="99"/>
      <c r="AN75" s="99"/>
      <c r="AO75" s="99"/>
      <c r="AP75" s="96"/>
    </row>
    <row r="76" spans="23:42" x14ac:dyDescent="0.25">
      <c r="AG76" s="98"/>
      <c r="AH76" s="99"/>
      <c r="AI76" s="99"/>
      <c r="AJ76" s="99"/>
      <c r="AK76" s="99"/>
      <c r="AL76" s="99"/>
      <c r="AM76" s="99"/>
      <c r="AN76" s="99"/>
      <c r="AO76" s="99"/>
      <c r="AP76" s="96"/>
    </row>
    <row r="77" spans="23:42" x14ac:dyDescent="0.25">
      <c r="AG77" s="98"/>
      <c r="AH77" s="99"/>
      <c r="AI77" s="99"/>
      <c r="AJ77" s="99"/>
      <c r="AK77" s="99"/>
      <c r="AL77" s="99"/>
      <c r="AM77" s="99"/>
      <c r="AN77" s="99"/>
      <c r="AO77" s="99"/>
      <c r="AP77" s="96"/>
    </row>
    <row r="78" spans="23:42" x14ac:dyDescent="0.25">
      <c r="AG78" s="98"/>
      <c r="AH78" s="99"/>
      <c r="AI78" s="99"/>
      <c r="AJ78" s="99"/>
      <c r="AK78" s="99"/>
      <c r="AL78" s="99"/>
      <c r="AM78" s="99"/>
      <c r="AN78" s="99"/>
      <c r="AO78" s="99"/>
      <c r="AP78" s="96"/>
    </row>
    <row r="79" spans="23:42" x14ac:dyDescent="0.25">
      <c r="AG79" s="98"/>
      <c r="AH79" s="99"/>
      <c r="AI79" s="99"/>
      <c r="AJ79" s="99"/>
      <c r="AK79" s="99"/>
      <c r="AL79" s="99"/>
      <c r="AM79" s="99"/>
      <c r="AN79" s="99"/>
      <c r="AO79" s="99"/>
      <c r="AP79" s="96"/>
    </row>
    <row r="80" spans="23:42" x14ac:dyDescent="0.25">
      <c r="AG80" s="98"/>
      <c r="AH80" s="99"/>
      <c r="AI80" s="99"/>
      <c r="AJ80" s="99"/>
      <c r="AK80" s="99"/>
      <c r="AL80" s="99"/>
      <c r="AM80" s="99"/>
      <c r="AN80" s="99"/>
      <c r="AO80" s="99"/>
      <c r="AP80" s="96"/>
    </row>
    <row r="81" spans="33:42" x14ac:dyDescent="0.25">
      <c r="AG81" s="98"/>
      <c r="AH81" s="99"/>
      <c r="AI81" s="99"/>
      <c r="AJ81" s="99"/>
      <c r="AK81" s="99"/>
      <c r="AL81" s="99"/>
      <c r="AM81" s="99"/>
      <c r="AN81" s="99"/>
      <c r="AO81" s="99"/>
      <c r="AP81" s="96"/>
    </row>
    <row r="82" spans="33:42" x14ac:dyDescent="0.25">
      <c r="AG82" s="98"/>
      <c r="AH82" s="99"/>
      <c r="AI82" s="99"/>
      <c r="AJ82" s="99"/>
      <c r="AK82" s="99"/>
      <c r="AL82" s="99"/>
      <c r="AM82" s="99"/>
      <c r="AN82" s="99"/>
      <c r="AO82" s="99"/>
      <c r="AP82" s="96"/>
    </row>
  </sheetData>
  <mergeCells count="1">
    <mergeCell ref="B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B10F-0BE8-4D0F-A4D7-940F0CD01A47}">
  <dimension ref="A1:AI108"/>
  <sheetViews>
    <sheetView zoomScale="45" zoomScaleNormal="10" workbookViewId="0"/>
  </sheetViews>
  <sheetFormatPr defaultRowHeight="15" x14ac:dyDescent="0.25"/>
  <cols>
    <col min="4" max="4" width="12" customWidth="1"/>
    <col min="5" max="5" width="15.7109375" customWidth="1"/>
    <col min="6" max="6" width="17.140625" customWidth="1"/>
    <col min="11" max="11" width="13" customWidth="1"/>
    <col min="12" max="12" width="16" customWidth="1"/>
    <col min="13" max="13" width="17.140625" customWidth="1"/>
    <col min="30" max="30" width="40.7109375" customWidth="1"/>
  </cols>
  <sheetData>
    <row r="1" spans="1:35" x14ac:dyDescent="0.25">
      <c r="A1" s="121" t="s">
        <v>238</v>
      </c>
    </row>
    <row r="2" spans="1:35" x14ac:dyDescent="0.25">
      <c r="B2" s="282" t="s">
        <v>64</v>
      </c>
      <c r="C2" s="283"/>
      <c r="D2" s="283"/>
      <c r="E2" s="283"/>
      <c r="F2" s="284"/>
      <c r="H2" s="114"/>
      <c r="I2" s="285" t="s">
        <v>1</v>
      </c>
      <c r="J2" s="285"/>
      <c r="K2" s="285"/>
      <c r="L2" s="285"/>
      <c r="M2" s="285"/>
      <c r="N2" s="5"/>
      <c r="AD2" s="8"/>
      <c r="AE2" s="8"/>
      <c r="AF2" s="8"/>
      <c r="AG2" s="8"/>
      <c r="AH2" s="8"/>
      <c r="AI2" s="8"/>
    </row>
    <row r="3" spans="1:35" x14ac:dyDescent="0.25">
      <c r="B3" s="7" t="s">
        <v>65</v>
      </c>
      <c r="C3" s="5" t="s">
        <v>239</v>
      </c>
      <c r="D3" s="5" t="s">
        <v>240</v>
      </c>
      <c r="E3" s="5" t="s">
        <v>241</v>
      </c>
      <c r="F3" s="6" t="s">
        <v>66</v>
      </c>
      <c r="H3" s="98"/>
      <c r="I3" s="56"/>
      <c r="J3" s="138" t="s">
        <v>239</v>
      </c>
      <c r="K3" s="138" t="s">
        <v>240</v>
      </c>
      <c r="L3" s="138" t="s">
        <v>241</v>
      </c>
      <c r="M3" s="6" t="s">
        <v>66</v>
      </c>
      <c r="N3" s="5"/>
      <c r="AC3" s="13"/>
      <c r="AD3" s="35"/>
      <c r="AE3" s="25"/>
      <c r="AF3" s="25"/>
      <c r="AG3" s="25"/>
      <c r="AH3" s="25"/>
    </row>
    <row r="4" spans="1:35" x14ac:dyDescent="0.25">
      <c r="B4" s="3">
        <v>5</v>
      </c>
      <c r="C4" s="5">
        <v>0</v>
      </c>
      <c r="D4" s="8"/>
      <c r="E4" s="8"/>
      <c r="F4" s="9"/>
      <c r="G4" t="s">
        <v>236</v>
      </c>
      <c r="H4" s="139"/>
      <c r="I4" s="261" t="s">
        <v>6</v>
      </c>
      <c r="J4" s="5">
        <v>9</v>
      </c>
      <c r="K4" s="5">
        <v>9</v>
      </c>
      <c r="L4" s="5">
        <v>0</v>
      </c>
      <c r="M4" s="6">
        <v>0</v>
      </c>
      <c r="N4" s="5"/>
      <c r="AC4" s="13"/>
      <c r="AD4" s="35"/>
      <c r="AE4" s="25"/>
      <c r="AF4" s="25"/>
      <c r="AG4" s="25"/>
      <c r="AH4" s="25"/>
    </row>
    <row r="5" spans="1:35" x14ac:dyDescent="0.25">
      <c r="B5" s="3">
        <v>5</v>
      </c>
      <c r="C5" s="5">
        <v>0</v>
      </c>
      <c r="D5" s="8"/>
      <c r="E5" s="8"/>
      <c r="F5" s="9"/>
      <c r="G5" t="s">
        <v>242</v>
      </c>
      <c r="H5" s="139"/>
      <c r="I5" s="261"/>
      <c r="J5" s="5">
        <v>9</v>
      </c>
      <c r="K5" s="5">
        <v>9</v>
      </c>
      <c r="L5" s="5">
        <v>0</v>
      </c>
      <c r="M5" s="6">
        <v>0</v>
      </c>
      <c r="N5" s="5"/>
      <c r="AC5" s="13"/>
      <c r="AD5" s="35"/>
      <c r="AE5" s="25"/>
      <c r="AF5" s="25"/>
      <c r="AG5" s="25"/>
      <c r="AH5" s="25"/>
    </row>
    <row r="6" spans="1:35" x14ac:dyDescent="0.25">
      <c r="B6" s="3">
        <v>5</v>
      </c>
      <c r="C6" s="5">
        <v>0</v>
      </c>
      <c r="D6" s="8"/>
      <c r="E6" s="8"/>
      <c r="F6" s="9"/>
      <c r="H6" s="139"/>
      <c r="I6" s="261"/>
      <c r="J6" s="5">
        <v>9</v>
      </c>
      <c r="K6" s="5">
        <v>9</v>
      </c>
      <c r="L6" s="5">
        <v>0</v>
      </c>
      <c r="M6" s="6">
        <v>0</v>
      </c>
      <c r="N6" s="5"/>
      <c r="AC6" s="13"/>
      <c r="AD6" s="35"/>
      <c r="AE6" s="25"/>
      <c r="AF6" s="25"/>
      <c r="AG6" s="25"/>
      <c r="AH6" s="25"/>
    </row>
    <row r="7" spans="1:35" x14ac:dyDescent="0.25">
      <c r="B7" s="3">
        <v>5</v>
      </c>
      <c r="C7" s="5">
        <v>0</v>
      </c>
      <c r="D7" s="8"/>
      <c r="E7" s="8"/>
      <c r="F7" s="9"/>
      <c r="H7" s="139"/>
      <c r="I7" s="261"/>
      <c r="J7" s="5">
        <v>9</v>
      </c>
      <c r="K7" s="5">
        <v>9.5</v>
      </c>
      <c r="L7" s="5">
        <v>0</v>
      </c>
      <c r="M7" s="6">
        <v>7</v>
      </c>
      <c r="N7" s="5"/>
      <c r="AC7" s="13"/>
      <c r="AD7" s="35"/>
      <c r="AE7" s="25"/>
      <c r="AF7" s="25"/>
      <c r="AG7" s="25"/>
      <c r="AH7" s="25"/>
    </row>
    <row r="8" spans="1:35" x14ac:dyDescent="0.25">
      <c r="B8" s="3">
        <v>5</v>
      </c>
      <c r="C8" s="5">
        <v>0</v>
      </c>
      <c r="D8" s="8"/>
      <c r="E8" s="8"/>
      <c r="F8" s="9"/>
      <c r="H8" s="139"/>
      <c r="I8" s="261"/>
      <c r="J8" s="5">
        <v>9.5</v>
      </c>
      <c r="K8" s="5">
        <v>9.5</v>
      </c>
      <c r="L8" s="5">
        <v>0</v>
      </c>
      <c r="M8" s="6">
        <v>6</v>
      </c>
      <c r="N8" s="5"/>
      <c r="AC8" s="13"/>
      <c r="AD8" s="35"/>
      <c r="AE8" s="25"/>
      <c r="AF8" s="25"/>
      <c r="AG8" s="25"/>
      <c r="AH8" s="25"/>
    </row>
    <row r="9" spans="1:35" x14ac:dyDescent="0.25">
      <c r="B9" s="3">
        <v>5</v>
      </c>
      <c r="C9" s="5">
        <v>0</v>
      </c>
      <c r="D9" s="8"/>
      <c r="E9" s="8"/>
      <c r="F9" s="9"/>
      <c r="H9" s="139"/>
      <c r="I9" s="261"/>
      <c r="J9" s="5">
        <v>9.5</v>
      </c>
      <c r="K9" s="5">
        <v>10</v>
      </c>
      <c r="L9" s="5">
        <v>0</v>
      </c>
      <c r="M9" s="6">
        <v>5</v>
      </c>
      <c r="N9" s="5"/>
      <c r="AC9" s="13"/>
      <c r="AD9" s="35"/>
      <c r="AE9" s="25"/>
      <c r="AF9" s="25"/>
      <c r="AG9" s="25"/>
      <c r="AH9" s="25"/>
    </row>
    <row r="10" spans="1:35" x14ac:dyDescent="0.25">
      <c r="B10" s="3">
        <v>5</v>
      </c>
      <c r="C10" s="5">
        <v>0</v>
      </c>
      <c r="D10" s="8"/>
      <c r="E10" s="8"/>
      <c r="F10" s="9"/>
      <c r="H10" s="116"/>
      <c r="I10" s="261"/>
      <c r="J10" s="5">
        <v>9.5</v>
      </c>
      <c r="K10" s="5">
        <v>10</v>
      </c>
      <c r="L10" s="5">
        <v>0</v>
      </c>
      <c r="M10" s="6">
        <v>7</v>
      </c>
      <c r="N10" s="5"/>
      <c r="AC10" s="13"/>
      <c r="AD10" s="35"/>
      <c r="AE10" s="25"/>
      <c r="AF10" s="25"/>
      <c r="AG10" s="25"/>
      <c r="AH10" s="25"/>
    </row>
    <row r="11" spans="1:35" x14ac:dyDescent="0.25">
      <c r="B11" s="3">
        <v>5</v>
      </c>
      <c r="C11" s="5">
        <v>0</v>
      </c>
      <c r="D11" s="8"/>
      <c r="E11" s="8"/>
      <c r="F11" s="9"/>
      <c r="H11" s="98"/>
      <c r="I11" s="261"/>
      <c r="J11" s="5">
        <v>9.5</v>
      </c>
      <c r="K11" s="5">
        <v>10</v>
      </c>
      <c r="L11" s="5">
        <v>7</v>
      </c>
      <c r="M11" s="6">
        <v>7</v>
      </c>
      <c r="N11" s="5"/>
      <c r="AC11" s="13"/>
      <c r="AD11" s="35"/>
      <c r="AE11" s="25"/>
      <c r="AF11" s="25"/>
      <c r="AG11" s="25"/>
      <c r="AH11" s="25"/>
    </row>
    <row r="12" spans="1:35" x14ac:dyDescent="0.25">
      <c r="B12" s="3">
        <v>5</v>
      </c>
      <c r="C12" s="5">
        <v>0</v>
      </c>
      <c r="D12" s="8"/>
      <c r="E12" s="8"/>
      <c r="F12" s="9"/>
      <c r="H12" s="98"/>
      <c r="I12" s="261"/>
      <c r="J12" s="5">
        <v>9</v>
      </c>
      <c r="K12" s="5">
        <v>10</v>
      </c>
      <c r="L12" s="5">
        <v>7</v>
      </c>
      <c r="M12" s="6">
        <v>7</v>
      </c>
      <c r="N12" s="5"/>
      <c r="AC12" s="13"/>
      <c r="AD12" s="35"/>
      <c r="AE12" s="25"/>
      <c r="AF12" s="25"/>
      <c r="AG12" s="25"/>
      <c r="AH12" s="25"/>
    </row>
    <row r="13" spans="1:35" x14ac:dyDescent="0.25">
      <c r="B13" s="3">
        <v>5</v>
      </c>
      <c r="C13" s="5">
        <v>0</v>
      </c>
      <c r="D13" s="8"/>
      <c r="E13" s="8"/>
      <c r="F13" s="9"/>
      <c r="H13" s="98"/>
      <c r="I13" s="261"/>
      <c r="J13" s="5">
        <v>10</v>
      </c>
      <c r="K13" s="5">
        <v>10</v>
      </c>
      <c r="L13" s="5">
        <v>7</v>
      </c>
      <c r="M13" s="6">
        <v>7</v>
      </c>
      <c r="N13" s="5"/>
      <c r="AC13" s="13"/>
      <c r="AD13" s="35"/>
      <c r="AE13" s="25"/>
      <c r="AF13" s="25"/>
      <c r="AG13" s="25"/>
      <c r="AH13" s="25"/>
    </row>
    <row r="14" spans="1:35" x14ac:dyDescent="0.25">
      <c r="B14" s="3">
        <v>5</v>
      </c>
      <c r="C14" s="5">
        <v>0</v>
      </c>
      <c r="D14" s="8"/>
      <c r="E14" s="8"/>
      <c r="F14" s="9"/>
      <c r="H14" s="98"/>
      <c r="I14" s="261"/>
      <c r="J14" s="5">
        <v>9</v>
      </c>
      <c r="K14" s="5">
        <v>9</v>
      </c>
      <c r="L14" s="5">
        <v>0</v>
      </c>
      <c r="M14" s="6">
        <v>0</v>
      </c>
      <c r="N14" s="5"/>
      <c r="AD14" s="35"/>
      <c r="AE14" s="25"/>
      <c r="AF14" s="25"/>
      <c r="AG14" s="25"/>
      <c r="AH14" s="25"/>
    </row>
    <row r="15" spans="1:35" x14ac:dyDescent="0.25">
      <c r="B15" s="3">
        <v>5</v>
      </c>
      <c r="C15" s="5">
        <v>0</v>
      </c>
      <c r="D15" s="8"/>
      <c r="E15" s="8"/>
      <c r="F15" s="9"/>
      <c r="H15" s="98"/>
      <c r="I15" s="261"/>
      <c r="J15" s="5">
        <v>9</v>
      </c>
      <c r="K15" s="5">
        <v>9</v>
      </c>
      <c r="L15" s="5">
        <v>0</v>
      </c>
      <c r="M15" s="6">
        <v>0</v>
      </c>
      <c r="N15" s="5"/>
      <c r="AD15" s="35"/>
      <c r="AE15" s="25"/>
      <c r="AF15" s="25"/>
      <c r="AG15" s="25"/>
      <c r="AH15" s="25"/>
    </row>
    <row r="16" spans="1:35" x14ac:dyDescent="0.25">
      <c r="B16" s="3">
        <v>5</v>
      </c>
      <c r="C16" s="5">
        <v>0</v>
      </c>
      <c r="D16" s="8"/>
      <c r="E16" s="8"/>
      <c r="F16" s="9"/>
      <c r="H16" s="98"/>
      <c r="I16" s="261"/>
      <c r="J16" s="5">
        <v>9</v>
      </c>
      <c r="K16" s="5">
        <v>9</v>
      </c>
      <c r="L16" s="5">
        <v>0</v>
      </c>
      <c r="M16" s="6">
        <v>0</v>
      </c>
      <c r="N16" s="5"/>
      <c r="AD16" s="35"/>
      <c r="AE16" s="25"/>
      <c r="AF16" s="25"/>
      <c r="AG16" s="25"/>
      <c r="AH16" s="25"/>
    </row>
    <row r="17" spans="2:35" x14ac:dyDescent="0.25">
      <c r="B17" s="3">
        <v>5</v>
      </c>
      <c r="C17" s="5">
        <v>0</v>
      </c>
      <c r="D17" s="8"/>
      <c r="E17" s="8"/>
      <c r="F17" s="9"/>
      <c r="H17" s="116"/>
      <c r="I17" s="261"/>
      <c r="J17" s="5">
        <v>9</v>
      </c>
      <c r="K17" s="5">
        <v>9.5</v>
      </c>
      <c r="L17" s="5">
        <v>0</v>
      </c>
      <c r="M17" s="6">
        <v>0</v>
      </c>
      <c r="N17" s="5"/>
      <c r="AD17" s="35"/>
      <c r="AE17" s="25"/>
      <c r="AF17" s="25"/>
      <c r="AG17" s="25"/>
      <c r="AH17" s="25"/>
    </row>
    <row r="18" spans="2:35" x14ac:dyDescent="0.25">
      <c r="B18" s="3">
        <v>5</v>
      </c>
      <c r="C18" s="5">
        <v>0</v>
      </c>
      <c r="D18" s="8"/>
      <c r="E18" s="8"/>
      <c r="F18" s="9"/>
      <c r="H18" s="98"/>
      <c r="I18" s="261"/>
      <c r="J18" s="5">
        <v>9</v>
      </c>
      <c r="K18" s="5">
        <v>9.5</v>
      </c>
      <c r="L18" s="5">
        <v>0</v>
      </c>
      <c r="M18" s="6">
        <v>0</v>
      </c>
      <c r="N18" s="5"/>
      <c r="AD18" s="35"/>
      <c r="AE18" s="25"/>
      <c r="AF18" s="25"/>
      <c r="AG18" s="25"/>
      <c r="AH18" s="25"/>
    </row>
    <row r="19" spans="2:35" x14ac:dyDescent="0.25">
      <c r="B19" s="3">
        <v>5</v>
      </c>
      <c r="C19" s="5">
        <v>0</v>
      </c>
      <c r="D19" s="8"/>
      <c r="E19" s="8"/>
      <c r="F19" s="9"/>
      <c r="H19" s="98"/>
      <c r="I19" s="261"/>
      <c r="J19" s="5">
        <v>9</v>
      </c>
      <c r="K19" s="5">
        <v>9.5</v>
      </c>
      <c r="L19" s="5">
        <v>0</v>
      </c>
      <c r="M19" s="6">
        <v>7.5</v>
      </c>
      <c r="N19" s="8"/>
      <c r="O19" s="8"/>
      <c r="P19" s="8"/>
      <c r="AD19" s="35"/>
      <c r="AE19" s="25"/>
      <c r="AF19" s="25"/>
      <c r="AG19" s="25"/>
      <c r="AH19" s="25"/>
    </row>
    <row r="20" spans="2:35" x14ac:dyDescent="0.25">
      <c r="B20" s="3">
        <v>5</v>
      </c>
      <c r="C20" s="5">
        <v>0</v>
      </c>
      <c r="D20" s="8"/>
      <c r="E20" s="8"/>
      <c r="F20" s="9"/>
      <c r="H20" s="98"/>
      <c r="I20" s="261"/>
      <c r="J20" s="5">
        <v>9</v>
      </c>
      <c r="K20" s="5">
        <v>10</v>
      </c>
      <c r="L20" s="5">
        <v>0</v>
      </c>
      <c r="M20" s="6">
        <v>7.5</v>
      </c>
      <c r="N20" s="8"/>
      <c r="O20" s="8"/>
      <c r="P20" s="8"/>
      <c r="AD20" s="35"/>
      <c r="AE20" s="25"/>
      <c r="AF20" s="25"/>
      <c r="AG20" s="25"/>
      <c r="AH20" s="25"/>
    </row>
    <row r="21" spans="2:35" x14ac:dyDescent="0.25">
      <c r="B21" s="3">
        <v>5</v>
      </c>
      <c r="C21" s="5">
        <v>0</v>
      </c>
      <c r="D21" s="8"/>
      <c r="E21" s="8"/>
      <c r="F21" s="9"/>
      <c r="H21" s="98"/>
      <c r="I21" s="261"/>
      <c r="J21" s="5">
        <v>9</v>
      </c>
      <c r="K21" s="5">
        <v>10</v>
      </c>
      <c r="L21" s="5">
        <v>0</v>
      </c>
      <c r="M21" s="6">
        <v>4</v>
      </c>
      <c r="N21" s="8"/>
      <c r="O21" s="8"/>
      <c r="P21" s="8"/>
      <c r="AD21" s="35"/>
      <c r="AE21" s="25"/>
      <c r="AF21" s="25"/>
      <c r="AG21" s="25"/>
      <c r="AH21" s="25"/>
    </row>
    <row r="22" spans="2:35" x14ac:dyDescent="0.25">
      <c r="B22" s="3">
        <v>5</v>
      </c>
      <c r="C22" s="5">
        <v>0</v>
      </c>
      <c r="D22" s="8"/>
      <c r="E22" s="8"/>
      <c r="F22" s="9"/>
      <c r="H22" s="98"/>
      <c r="I22" s="261"/>
      <c r="J22" s="5">
        <v>10</v>
      </c>
      <c r="K22" s="5">
        <v>10</v>
      </c>
      <c r="L22" s="5">
        <v>6</v>
      </c>
      <c r="M22" s="6">
        <v>4</v>
      </c>
      <c r="N22" s="8"/>
      <c r="O22" s="8"/>
      <c r="P22" s="8"/>
      <c r="AD22" s="35"/>
      <c r="AE22" s="25"/>
      <c r="AF22" s="25"/>
      <c r="AG22" s="25"/>
      <c r="AH22" s="25"/>
    </row>
    <row r="23" spans="2:35" x14ac:dyDescent="0.25">
      <c r="B23" s="3">
        <v>5</v>
      </c>
      <c r="C23" s="5">
        <v>0</v>
      </c>
      <c r="D23" s="8"/>
      <c r="E23" s="8"/>
      <c r="F23" s="9"/>
      <c r="H23" s="98"/>
      <c r="I23" s="262"/>
      <c r="J23" s="5">
        <v>10</v>
      </c>
      <c r="K23" s="5">
        <v>10</v>
      </c>
      <c r="L23" s="5">
        <v>7.5</v>
      </c>
      <c r="M23" s="6">
        <v>4</v>
      </c>
      <c r="N23" s="8"/>
      <c r="O23" s="8"/>
      <c r="P23" s="8"/>
      <c r="AD23" s="35"/>
      <c r="AE23" s="25"/>
      <c r="AF23" s="25"/>
      <c r="AG23" s="25"/>
      <c r="AH23" s="25"/>
    </row>
    <row r="24" spans="2:35" x14ac:dyDescent="0.25">
      <c r="B24" s="3">
        <v>5</v>
      </c>
      <c r="C24" s="8"/>
      <c r="D24" s="5">
        <v>0</v>
      </c>
      <c r="E24" s="8"/>
      <c r="F24" s="9"/>
      <c r="H24" s="114"/>
      <c r="I24" s="260" t="s">
        <v>49</v>
      </c>
      <c r="J24" s="11">
        <v>9.5</v>
      </c>
      <c r="K24" s="11">
        <v>9</v>
      </c>
      <c r="L24" s="11">
        <v>0</v>
      </c>
      <c r="M24" s="12">
        <v>0</v>
      </c>
      <c r="N24" s="8"/>
      <c r="O24" s="8"/>
      <c r="P24" s="8"/>
      <c r="AC24" s="13"/>
      <c r="AD24" s="35"/>
      <c r="AE24" s="25"/>
      <c r="AF24" s="25"/>
      <c r="AG24" s="25"/>
      <c r="AH24" s="25"/>
    </row>
    <row r="25" spans="2:35" x14ac:dyDescent="0.25">
      <c r="B25" s="3">
        <v>5</v>
      </c>
      <c r="C25" s="8"/>
      <c r="D25" s="5">
        <v>0</v>
      </c>
      <c r="E25" s="8"/>
      <c r="F25" s="9"/>
      <c r="H25" s="98"/>
      <c r="I25" s="261"/>
      <c r="J25" s="5">
        <v>9.5</v>
      </c>
      <c r="K25" s="5">
        <v>9</v>
      </c>
      <c r="L25" s="5">
        <v>5</v>
      </c>
      <c r="M25" s="6">
        <v>6</v>
      </c>
      <c r="N25" s="8"/>
      <c r="O25" s="8"/>
      <c r="P25" s="8"/>
      <c r="AC25" s="13"/>
      <c r="AD25" s="35"/>
      <c r="AE25" s="25"/>
      <c r="AF25" s="25"/>
      <c r="AG25" s="25"/>
      <c r="AH25" s="25"/>
    </row>
    <row r="26" spans="2:35" x14ac:dyDescent="0.25">
      <c r="B26" s="3">
        <v>5</v>
      </c>
      <c r="C26" s="8"/>
      <c r="D26" s="5">
        <v>0</v>
      </c>
      <c r="E26" s="8"/>
      <c r="F26" s="9"/>
      <c r="H26" s="98"/>
      <c r="I26" s="261"/>
      <c r="J26" s="5">
        <v>9.5</v>
      </c>
      <c r="K26" s="5">
        <v>9</v>
      </c>
      <c r="L26" s="5">
        <v>5</v>
      </c>
      <c r="M26" s="6">
        <v>7</v>
      </c>
      <c r="N26" s="8"/>
      <c r="O26" s="8"/>
      <c r="P26" s="8"/>
      <c r="AC26" s="13"/>
      <c r="AD26" s="31"/>
      <c r="AE26" s="31"/>
      <c r="AF26" s="31"/>
      <c r="AG26" s="31"/>
      <c r="AH26" s="31"/>
      <c r="AI26" s="31"/>
    </row>
    <row r="27" spans="2:35" x14ac:dyDescent="0.25">
      <c r="B27" s="3">
        <v>5</v>
      </c>
      <c r="C27" s="8"/>
      <c r="D27" s="5">
        <v>0</v>
      </c>
      <c r="E27" s="8"/>
      <c r="F27" s="9"/>
      <c r="H27" s="98"/>
      <c r="I27" s="261"/>
      <c r="J27" s="5">
        <v>9.5</v>
      </c>
      <c r="K27" s="5">
        <v>9</v>
      </c>
      <c r="L27" s="5">
        <v>0</v>
      </c>
      <c r="M27" s="6">
        <v>6</v>
      </c>
      <c r="N27" s="8"/>
      <c r="O27" s="8"/>
      <c r="P27" s="8"/>
      <c r="AC27" s="13"/>
      <c r="AD27" s="35"/>
      <c r="AE27" s="25"/>
    </row>
    <row r="28" spans="2:35" x14ac:dyDescent="0.25">
      <c r="B28" s="3">
        <v>5</v>
      </c>
      <c r="C28" s="8"/>
      <c r="D28" s="5">
        <v>0</v>
      </c>
      <c r="E28" s="8"/>
      <c r="F28" s="9"/>
      <c r="H28" s="98"/>
      <c r="I28" s="261"/>
      <c r="J28" s="5">
        <v>9.5</v>
      </c>
      <c r="K28" s="5">
        <v>9</v>
      </c>
      <c r="L28" s="5">
        <v>0</v>
      </c>
      <c r="M28" s="6">
        <v>5</v>
      </c>
      <c r="N28" s="8"/>
      <c r="O28" s="8"/>
      <c r="P28" s="8"/>
      <c r="AC28" s="13"/>
      <c r="AD28" s="35"/>
      <c r="AE28" s="25"/>
    </row>
    <row r="29" spans="2:35" x14ac:dyDescent="0.25">
      <c r="B29" s="3">
        <v>5</v>
      </c>
      <c r="C29" s="8"/>
      <c r="D29" s="5">
        <v>0</v>
      </c>
      <c r="E29" s="8"/>
      <c r="F29" s="9"/>
      <c r="H29" s="98"/>
      <c r="I29" s="261"/>
      <c r="J29" s="5">
        <v>10</v>
      </c>
      <c r="K29" s="5">
        <v>9</v>
      </c>
      <c r="L29" s="5">
        <v>0</v>
      </c>
      <c r="M29" s="6">
        <v>7</v>
      </c>
      <c r="N29" s="8"/>
      <c r="O29" s="8"/>
      <c r="P29" s="8"/>
      <c r="AC29" s="13"/>
      <c r="AD29" s="35"/>
      <c r="AE29" s="25"/>
    </row>
    <row r="30" spans="2:35" x14ac:dyDescent="0.25">
      <c r="B30" s="3">
        <v>5</v>
      </c>
      <c r="C30" s="8"/>
      <c r="D30" s="5">
        <v>0</v>
      </c>
      <c r="E30" s="8"/>
      <c r="F30" s="9"/>
      <c r="H30" s="98"/>
      <c r="I30" s="261"/>
      <c r="J30" s="5">
        <v>10</v>
      </c>
      <c r="K30" s="5">
        <v>10</v>
      </c>
      <c r="L30" s="5">
        <v>0</v>
      </c>
      <c r="M30" s="6">
        <v>7</v>
      </c>
      <c r="N30" s="8"/>
      <c r="O30" s="8"/>
      <c r="P30" s="8"/>
      <c r="AC30" s="13"/>
      <c r="AD30" s="35"/>
      <c r="AE30" s="25"/>
    </row>
    <row r="31" spans="2:35" x14ac:dyDescent="0.25">
      <c r="B31" s="3">
        <v>5</v>
      </c>
      <c r="C31" s="8"/>
      <c r="D31" s="5">
        <v>0</v>
      </c>
      <c r="E31" s="8"/>
      <c r="F31" s="9"/>
      <c r="H31" s="116"/>
      <c r="I31" s="261"/>
      <c r="J31" s="5">
        <v>10</v>
      </c>
      <c r="K31" s="5">
        <v>10</v>
      </c>
      <c r="L31" s="5">
        <v>0</v>
      </c>
      <c r="M31" s="6">
        <v>0</v>
      </c>
      <c r="N31" s="8"/>
      <c r="O31" s="8"/>
      <c r="P31" s="8"/>
      <c r="AC31" s="13"/>
      <c r="AD31" s="35"/>
      <c r="AE31" s="25"/>
    </row>
    <row r="32" spans="2:35" x14ac:dyDescent="0.25">
      <c r="B32" s="3">
        <v>5</v>
      </c>
      <c r="C32" s="8"/>
      <c r="D32" s="5">
        <v>0</v>
      </c>
      <c r="E32" s="8"/>
      <c r="F32" s="9"/>
      <c r="H32" s="98"/>
      <c r="I32" s="261"/>
      <c r="J32" s="5">
        <v>10</v>
      </c>
      <c r="K32" s="5">
        <v>10</v>
      </c>
      <c r="L32" s="5">
        <v>0</v>
      </c>
      <c r="M32" s="6">
        <v>0</v>
      </c>
      <c r="N32" s="8"/>
      <c r="O32" s="8"/>
      <c r="P32" s="8"/>
      <c r="AC32" s="13"/>
      <c r="AD32" s="35"/>
      <c r="AE32" s="25"/>
    </row>
    <row r="33" spans="2:35" x14ac:dyDescent="0.25">
      <c r="B33" s="3">
        <v>5</v>
      </c>
      <c r="C33" s="8"/>
      <c r="D33" s="5">
        <v>0</v>
      </c>
      <c r="E33" s="8"/>
      <c r="F33" s="9"/>
      <c r="H33" s="98"/>
      <c r="I33" s="261"/>
      <c r="J33" s="5">
        <v>10</v>
      </c>
      <c r="K33" s="5">
        <v>10</v>
      </c>
      <c r="L33" s="5">
        <v>0</v>
      </c>
      <c r="M33" s="6">
        <v>0</v>
      </c>
      <c r="N33" s="8"/>
      <c r="O33" s="8"/>
      <c r="P33" s="8"/>
      <c r="AC33" s="13"/>
      <c r="AD33" s="35"/>
      <c r="AE33" s="25"/>
    </row>
    <row r="34" spans="2:35" x14ac:dyDescent="0.25">
      <c r="B34" s="3">
        <v>5</v>
      </c>
      <c r="C34" s="8"/>
      <c r="D34" s="5">
        <v>0</v>
      </c>
      <c r="E34" s="8"/>
      <c r="F34" s="9"/>
      <c r="H34" s="98"/>
      <c r="I34" s="261"/>
      <c r="J34" s="5">
        <v>9</v>
      </c>
      <c r="K34" s="5">
        <v>9</v>
      </c>
      <c r="L34" s="5">
        <v>0</v>
      </c>
      <c r="M34" s="6">
        <v>0</v>
      </c>
      <c r="N34" s="8"/>
      <c r="O34" s="8"/>
      <c r="P34" s="8"/>
      <c r="AD34" s="35"/>
      <c r="AE34" s="25"/>
    </row>
    <row r="35" spans="2:35" x14ac:dyDescent="0.25">
      <c r="B35" s="3">
        <v>5</v>
      </c>
      <c r="C35" s="8"/>
      <c r="D35" s="5">
        <v>0</v>
      </c>
      <c r="E35" s="8"/>
      <c r="F35" s="9"/>
      <c r="H35" s="98"/>
      <c r="I35" s="261"/>
      <c r="J35" s="5">
        <v>9</v>
      </c>
      <c r="K35" s="5">
        <v>9</v>
      </c>
      <c r="L35" s="5">
        <v>0</v>
      </c>
      <c r="M35" s="6">
        <v>0</v>
      </c>
      <c r="N35" s="8"/>
      <c r="O35" s="8"/>
      <c r="P35" s="8"/>
      <c r="AD35" s="35"/>
      <c r="AE35" s="25"/>
    </row>
    <row r="36" spans="2:35" x14ac:dyDescent="0.25">
      <c r="B36" s="3">
        <v>5</v>
      </c>
      <c r="C36" s="8"/>
      <c r="D36" s="5">
        <v>0</v>
      </c>
      <c r="E36" s="8"/>
      <c r="F36" s="9"/>
      <c r="H36" s="98"/>
      <c r="I36" s="261"/>
      <c r="J36" s="5">
        <v>9</v>
      </c>
      <c r="K36" s="5">
        <v>9.5</v>
      </c>
      <c r="L36" s="5">
        <v>0</v>
      </c>
      <c r="M36" s="6">
        <v>0</v>
      </c>
      <c r="N36" s="8"/>
      <c r="O36" s="8"/>
      <c r="P36" s="8"/>
      <c r="AD36" s="35"/>
      <c r="AE36" s="25"/>
    </row>
    <row r="37" spans="2:35" x14ac:dyDescent="0.25">
      <c r="B37" s="3">
        <v>5</v>
      </c>
      <c r="C37" s="8"/>
      <c r="D37" s="5">
        <v>0</v>
      </c>
      <c r="E37" s="8"/>
      <c r="F37" s="9"/>
      <c r="H37" s="98"/>
      <c r="I37" s="261"/>
      <c r="J37" s="5">
        <v>9</v>
      </c>
      <c r="K37" s="5">
        <v>10</v>
      </c>
      <c r="L37" s="5">
        <v>0</v>
      </c>
      <c r="M37" s="6">
        <v>0</v>
      </c>
      <c r="N37" s="8"/>
      <c r="O37" s="8"/>
      <c r="P37" s="8"/>
      <c r="AD37" s="35"/>
      <c r="AE37" s="25"/>
    </row>
    <row r="38" spans="2:35" x14ac:dyDescent="0.25">
      <c r="B38" s="3">
        <v>5</v>
      </c>
      <c r="C38" s="8"/>
      <c r="D38" s="5">
        <v>0</v>
      </c>
      <c r="E38" s="8"/>
      <c r="F38" s="9"/>
      <c r="H38" s="116"/>
      <c r="I38" s="261"/>
      <c r="J38" s="5">
        <v>9.5</v>
      </c>
      <c r="K38" s="5">
        <v>10</v>
      </c>
      <c r="L38" s="5">
        <v>0</v>
      </c>
      <c r="M38" s="6">
        <v>0</v>
      </c>
      <c r="N38" s="8"/>
      <c r="O38" s="8"/>
      <c r="P38" s="8"/>
      <c r="AD38" s="40"/>
      <c r="AE38" s="4"/>
      <c r="AF38" s="8"/>
    </row>
    <row r="39" spans="2:35" x14ac:dyDescent="0.25">
      <c r="B39" s="3">
        <v>5</v>
      </c>
      <c r="C39" s="8"/>
      <c r="D39" s="5">
        <v>0</v>
      </c>
      <c r="E39" s="8"/>
      <c r="F39" s="9"/>
      <c r="H39" s="98"/>
      <c r="I39" s="261"/>
      <c r="J39" s="5">
        <v>10</v>
      </c>
      <c r="K39" s="5">
        <v>10</v>
      </c>
      <c r="L39" s="5">
        <v>0</v>
      </c>
      <c r="M39" s="6">
        <v>7</v>
      </c>
      <c r="N39" s="8"/>
      <c r="O39" s="8"/>
      <c r="P39" s="8"/>
      <c r="AD39" s="35"/>
      <c r="AE39" s="25"/>
      <c r="AF39" s="25"/>
      <c r="AG39" s="25"/>
      <c r="AH39" s="25"/>
      <c r="AI39" s="25"/>
    </row>
    <row r="40" spans="2:35" x14ac:dyDescent="0.25">
      <c r="B40" s="3">
        <v>5</v>
      </c>
      <c r="C40" s="8"/>
      <c r="D40" s="5">
        <v>0</v>
      </c>
      <c r="E40" s="8"/>
      <c r="F40" s="9"/>
      <c r="H40" s="98"/>
      <c r="I40" s="261"/>
      <c r="J40" s="5">
        <v>10</v>
      </c>
      <c r="K40" s="5">
        <v>10</v>
      </c>
      <c r="L40" s="5">
        <v>0</v>
      </c>
      <c r="M40" s="6">
        <v>8</v>
      </c>
      <c r="N40" s="8"/>
      <c r="O40" s="8"/>
      <c r="P40" s="8"/>
      <c r="AD40" s="35"/>
      <c r="AE40" s="25"/>
      <c r="AF40" s="25"/>
      <c r="AG40" s="25"/>
      <c r="AH40" s="25"/>
      <c r="AI40" s="25"/>
    </row>
    <row r="41" spans="2:35" x14ac:dyDescent="0.25">
      <c r="B41" s="3">
        <v>5</v>
      </c>
      <c r="C41" s="8"/>
      <c r="D41" s="5">
        <v>0</v>
      </c>
      <c r="E41" s="8"/>
      <c r="F41" s="9"/>
      <c r="H41" s="98"/>
      <c r="I41" s="261"/>
      <c r="J41" s="5">
        <v>10</v>
      </c>
      <c r="K41" s="5">
        <v>10</v>
      </c>
      <c r="L41" s="5">
        <v>0</v>
      </c>
      <c r="M41" s="6">
        <v>8</v>
      </c>
      <c r="N41" s="8"/>
      <c r="O41" s="8"/>
      <c r="P41" s="8"/>
      <c r="AD41" s="35"/>
      <c r="AE41" s="25"/>
      <c r="AF41" s="25"/>
      <c r="AG41" s="25"/>
      <c r="AH41" s="25"/>
      <c r="AI41" s="25"/>
    </row>
    <row r="42" spans="2:35" x14ac:dyDescent="0.25">
      <c r="B42" s="3">
        <v>5</v>
      </c>
      <c r="C42" s="8"/>
      <c r="D42" s="5">
        <v>0</v>
      </c>
      <c r="E42" s="8"/>
      <c r="F42" s="9"/>
      <c r="H42" s="98"/>
      <c r="I42" s="261"/>
      <c r="J42" s="5">
        <v>10</v>
      </c>
      <c r="K42" s="5">
        <v>10</v>
      </c>
      <c r="L42" s="5">
        <v>0</v>
      </c>
      <c r="M42" s="6">
        <v>0</v>
      </c>
      <c r="N42" s="8"/>
      <c r="O42" s="8"/>
      <c r="P42" s="8"/>
      <c r="AD42" s="35"/>
      <c r="AE42" s="25"/>
      <c r="AF42" s="25"/>
      <c r="AG42" s="25"/>
      <c r="AH42" s="25"/>
      <c r="AI42" s="25"/>
    </row>
    <row r="43" spans="2:35" x14ac:dyDescent="0.25">
      <c r="B43" s="3">
        <v>5</v>
      </c>
      <c r="C43" s="8"/>
      <c r="D43" s="5">
        <v>0</v>
      </c>
      <c r="E43" s="8"/>
      <c r="F43" s="9"/>
      <c r="H43" s="98"/>
      <c r="I43" s="262"/>
      <c r="J43" s="5">
        <v>10</v>
      </c>
      <c r="K43" s="5">
        <v>10</v>
      </c>
      <c r="L43" s="5">
        <v>0</v>
      </c>
      <c r="M43" s="6">
        <v>0</v>
      </c>
      <c r="N43" s="8"/>
      <c r="O43" s="8"/>
      <c r="P43" s="8"/>
      <c r="AD43" s="35"/>
      <c r="AE43" s="25"/>
      <c r="AF43" s="25"/>
      <c r="AG43" s="25"/>
      <c r="AH43" s="25"/>
      <c r="AI43" s="25"/>
    </row>
    <row r="44" spans="2:35" x14ac:dyDescent="0.25">
      <c r="B44" s="3">
        <v>1</v>
      </c>
      <c r="C44" s="8"/>
      <c r="D44" s="8"/>
      <c r="E44" s="5">
        <v>1</v>
      </c>
      <c r="F44" s="6"/>
      <c r="H44" s="98"/>
      <c r="I44" s="260" t="s">
        <v>50</v>
      </c>
      <c r="J44" s="11">
        <v>9</v>
      </c>
      <c r="K44" s="11">
        <v>8</v>
      </c>
      <c r="L44" s="11">
        <v>7.5</v>
      </c>
      <c r="M44" s="12">
        <v>6</v>
      </c>
      <c r="N44" s="8"/>
      <c r="O44" s="8"/>
      <c r="P44" s="8"/>
      <c r="AC44" s="13"/>
      <c r="AD44" s="35"/>
      <c r="AE44" s="25"/>
      <c r="AF44" s="25"/>
      <c r="AG44" s="25"/>
      <c r="AH44" s="25"/>
      <c r="AI44" s="25"/>
    </row>
    <row r="45" spans="2:35" x14ac:dyDescent="0.25">
      <c r="B45" s="3">
        <v>1</v>
      </c>
      <c r="C45" s="8"/>
      <c r="D45" s="8"/>
      <c r="E45" s="5">
        <v>1</v>
      </c>
      <c r="F45" s="6"/>
      <c r="H45" s="114"/>
      <c r="I45" s="261"/>
      <c r="J45" s="5">
        <v>9.5</v>
      </c>
      <c r="K45" s="5">
        <v>9</v>
      </c>
      <c r="L45" s="5">
        <v>6.5</v>
      </c>
      <c r="M45" s="6">
        <v>6</v>
      </c>
      <c r="N45" s="8"/>
      <c r="O45" s="8"/>
      <c r="P45" s="8"/>
      <c r="AC45" s="13"/>
      <c r="AD45" s="35"/>
      <c r="AE45" s="25"/>
      <c r="AF45" s="25"/>
      <c r="AG45" s="25"/>
      <c r="AH45" s="25"/>
      <c r="AI45" s="25"/>
    </row>
    <row r="46" spans="2:35" x14ac:dyDescent="0.25">
      <c r="B46" s="3">
        <v>1</v>
      </c>
      <c r="C46" s="8"/>
      <c r="D46" s="8"/>
      <c r="E46" s="5">
        <v>1</v>
      </c>
      <c r="F46" s="6"/>
      <c r="H46" s="98"/>
      <c r="I46" s="261"/>
      <c r="J46" s="5">
        <v>9.5</v>
      </c>
      <c r="K46" s="5">
        <v>9</v>
      </c>
      <c r="L46" s="5">
        <v>0</v>
      </c>
      <c r="M46" s="6">
        <v>6</v>
      </c>
      <c r="N46" s="8"/>
      <c r="O46" s="8"/>
      <c r="P46" s="8"/>
      <c r="AC46" s="13"/>
      <c r="AD46" s="35"/>
      <c r="AE46" s="25"/>
      <c r="AF46" s="25"/>
      <c r="AG46" s="25"/>
      <c r="AH46" s="25"/>
      <c r="AI46" s="25"/>
    </row>
    <row r="47" spans="2:35" x14ac:dyDescent="0.25">
      <c r="B47" s="3">
        <v>1</v>
      </c>
      <c r="C47" s="8"/>
      <c r="D47" s="8"/>
      <c r="E47" s="5">
        <v>1</v>
      </c>
      <c r="F47" s="6"/>
      <c r="H47" s="98"/>
      <c r="I47" s="261"/>
      <c r="J47" s="5">
        <v>9.5</v>
      </c>
      <c r="K47" s="5">
        <v>9.5</v>
      </c>
      <c r="L47" s="5">
        <v>0</v>
      </c>
      <c r="M47" s="6">
        <v>6</v>
      </c>
      <c r="N47" s="8"/>
      <c r="O47" s="8"/>
      <c r="P47" s="8"/>
      <c r="AC47" s="13"/>
      <c r="AD47" s="35"/>
      <c r="AE47" s="25"/>
      <c r="AF47" s="25"/>
      <c r="AG47" s="25"/>
      <c r="AH47" s="25"/>
      <c r="AI47" s="25"/>
    </row>
    <row r="48" spans="2:35" x14ac:dyDescent="0.25">
      <c r="B48" s="3">
        <v>1</v>
      </c>
      <c r="C48" s="8"/>
      <c r="D48" s="8"/>
      <c r="E48" s="5">
        <v>1</v>
      </c>
      <c r="F48" s="6"/>
      <c r="H48" s="98"/>
      <c r="I48" s="261"/>
      <c r="J48" s="5">
        <v>9.5</v>
      </c>
      <c r="K48" s="5">
        <v>9.5</v>
      </c>
      <c r="L48" s="5">
        <v>0</v>
      </c>
      <c r="M48" s="6">
        <v>6</v>
      </c>
      <c r="N48" s="8"/>
      <c r="O48" s="8"/>
      <c r="P48" s="8"/>
      <c r="AC48" s="13"/>
      <c r="AD48" s="35"/>
      <c r="AE48" s="25"/>
      <c r="AF48" s="25"/>
      <c r="AG48" s="25"/>
      <c r="AH48" s="25"/>
      <c r="AI48" s="25"/>
    </row>
    <row r="49" spans="2:35" x14ac:dyDescent="0.25">
      <c r="B49" s="3">
        <v>1</v>
      </c>
      <c r="C49" s="8"/>
      <c r="D49" s="8"/>
      <c r="E49" s="5">
        <v>1</v>
      </c>
      <c r="F49" s="6"/>
      <c r="H49" s="98"/>
      <c r="I49" s="261"/>
      <c r="J49" s="5">
        <v>9.5</v>
      </c>
      <c r="K49" s="5">
        <v>9.5</v>
      </c>
      <c r="L49" s="5">
        <v>0</v>
      </c>
      <c r="M49" s="6">
        <v>5</v>
      </c>
      <c r="N49" s="8"/>
      <c r="O49" s="8"/>
      <c r="P49" s="8"/>
      <c r="AC49" s="13"/>
      <c r="AD49" s="35"/>
      <c r="AE49" s="25"/>
      <c r="AF49" s="25"/>
      <c r="AG49" s="25"/>
      <c r="AH49" s="25"/>
      <c r="AI49" s="25"/>
    </row>
    <row r="50" spans="2:35" x14ac:dyDescent="0.25">
      <c r="B50" s="3">
        <v>1</v>
      </c>
      <c r="C50" s="8"/>
      <c r="D50" s="8"/>
      <c r="E50" s="5">
        <v>1</v>
      </c>
      <c r="F50" s="6"/>
      <c r="H50" s="98"/>
      <c r="I50" s="261"/>
      <c r="J50" s="5">
        <v>9.5</v>
      </c>
      <c r="K50" s="5">
        <v>9.5</v>
      </c>
      <c r="L50" s="5">
        <v>0</v>
      </c>
      <c r="M50" s="6">
        <v>0</v>
      </c>
      <c r="N50" s="8"/>
      <c r="O50" s="8"/>
      <c r="P50" s="8"/>
      <c r="AC50" s="13"/>
      <c r="AD50" s="35"/>
      <c r="AE50" s="25"/>
      <c r="AF50" s="25"/>
      <c r="AG50" s="25"/>
      <c r="AH50" s="25"/>
      <c r="AI50" s="25"/>
    </row>
    <row r="51" spans="2:35" x14ac:dyDescent="0.25">
      <c r="B51" s="3">
        <v>1</v>
      </c>
      <c r="C51" s="8"/>
      <c r="D51" s="8"/>
      <c r="E51" s="5">
        <v>1</v>
      </c>
      <c r="F51" s="6"/>
      <c r="H51" s="98"/>
      <c r="I51" s="261"/>
      <c r="J51" s="5">
        <v>9.5</v>
      </c>
      <c r="K51" s="5">
        <v>10</v>
      </c>
      <c r="L51" s="5">
        <v>0</v>
      </c>
      <c r="M51" s="6">
        <v>0</v>
      </c>
      <c r="N51" s="8"/>
      <c r="O51" s="8"/>
      <c r="P51" s="8"/>
      <c r="AC51" s="13"/>
      <c r="AD51" s="35"/>
      <c r="AE51" s="25"/>
      <c r="AF51" s="25"/>
      <c r="AG51" s="25"/>
      <c r="AH51" s="25"/>
      <c r="AI51" s="25"/>
    </row>
    <row r="52" spans="2:35" x14ac:dyDescent="0.25">
      <c r="B52" s="3">
        <v>1</v>
      </c>
      <c r="C52" s="8"/>
      <c r="D52" s="8"/>
      <c r="E52" s="5">
        <v>1</v>
      </c>
      <c r="F52" s="6"/>
      <c r="H52" s="126"/>
      <c r="I52" s="261"/>
      <c r="J52" s="5">
        <v>9.5</v>
      </c>
      <c r="K52" s="5">
        <v>10</v>
      </c>
      <c r="L52" s="5">
        <v>0</v>
      </c>
      <c r="M52" s="6">
        <v>0</v>
      </c>
      <c r="N52" s="8"/>
      <c r="O52" s="8"/>
      <c r="P52" s="8"/>
      <c r="AC52" s="13"/>
      <c r="AD52" s="35"/>
      <c r="AE52" s="25"/>
      <c r="AF52" s="25"/>
      <c r="AG52" s="25"/>
      <c r="AH52" s="25"/>
      <c r="AI52" s="25"/>
    </row>
    <row r="53" spans="2:35" x14ac:dyDescent="0.25">
      <c r="B53" s="3">
        <v>1</v>
      </c>
      <c r="C53" s="8"/>
      <c r="D53" s="8"/>
      <c r="E53" s="5">
        <v>1</v>
      </c>
      <c r="F53" s="6"/>
      <c r="H53" s="126"/>
      <c r="I53" s="261"/>
      <c r="J53" s="5">
        <v>10</v>
      </c>
      <c r="K53" s="5">
        <v>10</v>
      </c>
      <c r="L53" s="5">
        <v>0</v>
      </c>
      <c r="M53" s="6">
        <v>0</v>
      </c>
      <c r="N53" s="8"/>
      <c r="O53" s="8"/>
      <c r="P53" s="8"/>
      <c r="AC53" s="13"/>
      <c r="AD53" s="35"/>
      <c r="AE53" s="25"/>
      <c r="AF53" s="25"/>
      <c r="AG53" s="25"/>
      <c r="AH53" s="25"/>
      <c r="AI53" s="25"/>
    </row>
    <row r="54" spans="2:35" x14ac:dyDescent="0.25">
      <c r="B54" s="3">
        <v>1</v>
      </c>
      <c r="C54" s="8"/>
      <c r="D54" s="8"/>
      <c r="E54" s="5">
        <v>1</v>
      </c>
      <c r="F54" s="6"/>
      <c r="H54" s="126"/>
      <c r="I54" s="261"/>
      <c r="J54" s="5">
        <v>9</v>
      </c>
      <c r="K54" s="5">
        <v>9</v>
      </c>
      <c r="L54" s="5">
        <v>0</v>
      </c>
      <c r="M54" s="6">
        <v>7.5</v>
      </c>
      <c r="N54" s="8"/>
      <c r="O54" s="8"/>
      <c r="P54" s="8"/>
      <c r="AD54" s="35"/>
      <c r="AE54" s="25"/>
      <c r="AF54" s="25"/>
      <c r="AG54" s="25"/>
      <c r="AH54" s="25"/>
      <c r="AI54" s="25"/>
    </row>
    <row r="55" spans="2:35" x14ac:dyDescent="0.25">
      <c r="B55" s="3">
        <v>1</v>
      </c>
      <c r="C55" s="8"/>
      <c r="D55" s="8"/>
      <c r="E55" s="5">
        <v>1</v>
      </c>
      <c r="F55" s="6"/>
      <c r="H55" s="126"/>
      <c r="I55" s="261"/>
      <c r="J55" s="5">
        <v>9</v>
      </c>
      <c r="K55" s="5">
        <v>9</v>
      </c>
      <c r="L55" s="5">
        <v>0</v>
      </c>
      <c r="M55" s="6">
        <v>6.5</v>
      </c>
      <c r="N55" s="8"/>
      <c r="O55" s="8"/>
      <c r="P55" s="8"/>
      <c r="AD55" s="35"/>
      <c r="AE55" s="25"/>
      <c r="AF55" s="25"/>
      <c r="AG55" s="25"/>
      <c r="AH55" s="25"/>
      <c r="AI55" s="25"/>
    </row>
    <row r="56" spans="2:35" x14ac:dyDescent="0.25">
      <c r="B56" s="3">
        <v>1</v>
      </c>
      <c r="C56" s="8"/>
      <c r="D56" s="8"/>
      <c r="E56" s="5">
        <v>1</v>
      </c>
      <c r="F56" s="6"/>
      <c r="H56" s="126"/>
      <c r="I56" s="261"/>
      <c r="J56" s="5">
        <v>9</v>
      </c>
      <c r="K56" s="5">
        <v>10</v>
      </c>
      <c r="L56" s="5">
        <v>0</v>
      </c>
      <c r="M56" s="6">
        <v>6.5</v>
      </c>
      <c r="N56" s="8"/>
      <c r="O56" s="8"/>
      <c r="P56" s="8"/>
      <c r="AD56" s="35"/>
      <c r="AE56" s="25"/>
      <c r="AF56" s="25"/>
      <c r="AG56" s="25"/>
      <c r="AH56" s="25"/>
      <c r="AI56" s="25"/>
    </row>
    <row r="57" spans="2:35" x14ac:dyDescent="0.25">
      <c r="B57" s="3">
        <v>1</v>
      </c>
      <c r="C57" s="8"/>
      <c r="D57" s="8"/>
      <c r="E57" s="5">
        <v>1</v>
      </c>
      <c r="F57" s="6"/>
      <c r="H57" s="126"/>
      <c r="I57" s="261"/>
      <c r="J57" s="5">
        <v>10</v>
      </c>
      <c r="K57" s="5">
        <v>10</v>
      </c>
      <c r="L57" s="5">
        <v>0</v>
      </c>
      <c r="M57" s="6">
        <v>0</v>
      </c>
      <c r="N57" s="8"/>
      <c r="O57" s="8"/>
      <c r="P57" s="8"/>
      <c r="AD57" s="35"/>
      <c r="AE57" s="25"/>
      <c r="AF57" s="25"/>
      <c r="AG57" s="25"/>
      <c r="AH57" s="25"/>
      <c r="AI57" s="25"/>
    </row>
    <row r="58" spans="2:35" x14ac:dyDescent="0.25">
      <c r="B58" s="3">
        <v>1</v>
      </c>
      <c r="C58" s="8"/>
      <c r="D58" s="8"/>
      <c r="E58" s="5">
        <v>1</v>
      </c>
      <c r="F58" s="6"/>
      <c r="H58" s="126"/>
      <c r="I58" s="261"/>
      <c r="J58" s="5">
        <v>10</v>
      </c>
      <c r="K58" s="5">
        <v>9.5</v>
      </c>
      <c r="L58" s="5">
        <v>0</v>
      </c>
      <c r="M58" s="6">
        <v>0</v>
      </c>
      <c r="N58" s="8"/>
      <c r="O58" s="8"/>
      <c r="P58" s="8"/>
      <c r="AD58" s="35"/>
      <c r="AE58" s="25"/>
      <c r="AF58" s="25"/>
      <c r="AG58" s="25"/>
      <c r="AH58" s="25"/>
      <c r="AI58" s="25"/>
    </row>
    <row r="59" spans="2:35" x14ac:dyDescent="0.25">
      <c r="B59" s="3">
        <v>2</v>
      </c>
      <c r="C59" s="8"/>
      <c r="D59" s="8"/>
      <c r="E59" s="5">
        <v>1</v>
      </c>
      <c r="F59" s="6"/>
      <c r="H59" s="126"/>
      <c r="I59" s="261"/>
      <c r="J59" s="5">
        <v>9.5</v>
      </c>
      <c r="K59" s="5">
        <v>9.5</v>
      </c>
      <c r="L59" s="5">
        <v>0</v>
      </c>
      <c r="M59" s="6">
        <v>0</v>
      </c>
      <c r="N59" s="8"/>
      <c r="O59" s="8"/>
      <c r="P59" s="8"/>
      <c r="AD59" s="35"/>
      <c r="AE59" s="25"/>
      <c r="AF59" s="25"/>
      <c r="AG59" s="25"/>
      <c r="AH59" s="25"/>
      <c r="AI59" s="25"/>
    </row>
    <row r="60" spans="2:35" x14ac:dyDescent="0.25">
      <c r="B60" s="3">
        <v>2</v>
      </c>
      <c r="C60" s="8"/>
      <c r="D60" s="8"/>
      <c r="E60" s="5">
        <v>1</v>
      </c>
      <c r="F60" s="6"/>
      <c r="H60" s="126"/>
      <c r="I60" s="261"/>
      <c r="J60" s="5">
        <v>8.5</v>
      </c>
      <c r="K60" s="5">
        <v>10</v>
      </c>
      <c r="L60" s="5">
        <v>0</v>
      </c>
      <c r="M60" s="6">
        <v>0</v>
      </c>
      <c r="N60" s="8"/>
      <c r="O60" s="8"/>
      <c r="P60" s="8"/>
      <c r="AD60" s="35"/>
      <c r="AE60" s="25"/>
      <c r="AF60" s="25"/>
      <c r="AG60" s="25"/>
      <c r="AH60" s="25"/>
      <c r="AI60" s="25"/>
    </row>
    <row r="61" spans="2:35" x14ac:dyDescent="0.25">
      <c r="B61" s="3">
        <v>5</v>
      </c>
      <c r="C61" s="8"/>
      <c r="D61" s="8"/>
      <c r="E61" s="5">
        <v>0</v>
      </c>
      <c r="F61" s="6"/>
      <c r="H61" s="126"/>
      <c r="I61" s="261"/>
      <c r="J61" s="5">
        <v>9</v>
      </c>
      <c r="K61" s="5">
        <v>10</v>
      </c>
      <c r="L61" s="5">
        <v>0</v>
      </c>
      <c r="M61" s="6">
        <v>0</v>
      </c>
      <c r="N61" s="8"/>
      <c r="O61" s="8"/>
      <c r="P61" s="8"/>
      <c r="AD61" s="40"/>
      <c r="AE61" s="4"/>
      <c r="AF61" s="4"/>
      <c r="AG61" s="4"/>
      <c r="AH61" s="4"/>
      <c r="AI61" s="4"/>
    </row>
    <row r="62" spans="2:35" x14ac:dyDescent="0.25">
      <c r="B62" s="3">
        <v>5</v>
      </c>
      <c r="C62" s="8"/>
      <c r="D62" s="8"/>
      <c r="E62" s="5">
        <v>0</v>
      </c>
      <c r="F62" s="6"/>
      <c r="H62" s="126"/>
      <c r="I62" s="261"/>
      <c r="J62" s="5">
        <v>10</v>
      </c>
      <c r="K62" s="5">
        <v>10</v>
      </c>
      <c r="L62" s="5">
        <v>0</v>
      </c>
      <c r="M62" s="6">
        <v>0</v>
      </c>
      <c r="N62" s="8"/>
      <c r="O62" s="8"/>
      <c r="P62" s="8"/>
      <c r="AD62" s="40"/>
      <c r="AE62" s="4"/>
      <c r="AF62" s="4"/>
      <c r="AG62" s="4"/>
      <c r="AH62" s="4"/>
      <c r="AI62" s="4"/>
    </row>
    <row r="63" spans="2:35" x14ac:dyDescent="0.25">
      <c r="B63" s="3">
        <v>1</v>
      </c>
      <c r="C63" s="8"/>
      <c r="D63" s="8"/>
      <c r="E63" s="5"/>
      <c r="F63" s="6">
        <v>1</v>
      </c>
      <c r="H63" s="126"/>
      <c r="I63" s="262"/>
      <c r="J63" s="5">
        <v>10</v>
      </c>
      <c r="K63" s="5">
        <v>10</v>
      </c>
      <c r="L63" s="5">
        <v>0</v>
      </c>
      <c r="M63" s="6">
        <v>0</v>
      </c>
      <c r="N63" s="8"/>
      <c r="O63" s="8"/>
      <c r="P63" s="8"/>
    </row>
    <row r="64" spans="2:35" x14ac:dyDescent="0.25">
      <c r="B64" s="3">
        <v>1</v>
      </c>
      <c r="C64" s="8"/>
      <c r="D64" s="8"/>
      <c r="E64" s="5"/>
      <c r="F64" s="6">
        <v>1</v>
      </c>
      <c r="H64" s="126"/>
      <c r="I64" s="260" t="s">
        <v>51</v>
      </c>
      <c r="J64" s="11">
        <v>10</v>
      </c>
      <c r="K64" s="11">
        <v>9</v>
      </c>
      <c r="L64" s="11">
        <v>7.5</v>
      </c>
      <c r="M64" s="12">
        <v>5</v>
      </c>
      <c r="N64" s="8"/>
      <c r="O64" s="8"/>
      <c r="P64" s="8"/>
      <c r="AC64" s="13"/>
    </row>
    <row r="65" spans="2:29" x14ac:dyDescent="0.25">
      <c r="B65" s="3">
        <v>1</v>
      </c>
      <c r="C65" s="8"/>
      <c r="D65" s="8"/>
      <c r="E65" s="5"/>
      <c r="F65" s="6">
        <v>1</v>
      </c>
      <c r="H65" s="126"/>
      <c r="I65" s="261"/>
      <c r="J65" s="5">
        <v>10</v>
      </c>
      <c r="K65" s="5">
        <v>9</v>
      </c>
      <c r="L65" s="5">
        <v>6.5</v>
      </c>
      <c r="M65" s="6">
        <v>6</v>
      </c>
      <c r="N65" s="8"/>
      <c r="O65" s="8"/>
      <c r="P65" s="8"/>
      <c r="AC65" s="13"/>
    </row>
    <row r="66" spans="2:29" x14ac:dyDescent="0.25">
      <c r="B66" s="3">
        <v>1</v>
      </c>
      <c r="C66" s="8"/>
      <c r="D66" s="8"/>
      <c r="E66" s="5"/>
      <c r="F66" s="6">
        <v>1</v>
      </c>
      <c r="H66" s="126"/>
      <c r="I66" s="261"/>
      <c r="J66" s="5">
        <v>10</v>
      </c>
      <c r="K66" s="5">
        <v>9</v>
      </c>
      <c r="L66" s="5">
        <v>0</v>
      </c>
      <c r="M66" s="6">
        <v>6</v>
      </c>
      <c r="N66" s="8"/>
      <c r="O66" s="8"/>
      <c r="P66" s="8"/>
      <c r="AC66" s="13"/>
    </row>
    <row r="67" spans="2:29" x14ac:dyDescent="0.25">
      <c r="B67" s="3">
        <v>1</v>
      </c>
      <c r="C67" s="8"/>
      <c r="D67" s="8"/>
      <c r="E67" s="5"/>
      <c r="F67" s="6">
        <v>1</v>
      </c>
      <c r="H67" s="126"/>
      <c r="I67" s="261"/>
      <c r="J67" s="5">
        <v>10</v>
      </c>
      <c r="K67" s="5">
        <v>9</v>
      </c>
      <c r="L67" s="5">
        <v>0</v>
      </c>
      <c r="M67" s="6">
        <v>6</v>
      </c>
      <c r="N67" s="8"/>
      <c r="O67" s="8"/>
      <c r="P67" s="8"/>
      <c r="AC67" s="13"/>
    </row>
    <row r="68" spans="2:29" x14ac:dyDescent="0.25">
      <c r="B68" s="3">
        <v>1</v>
      </c>
      <c r="C68" s="8"/>
      <c r="D68" s="8"/>
      <c r="E68" s="5"/>
      <c r="F68" s="6">
        <v>1</v>
      </c>
      <c r="H68" s="126"/>
      <c r="I68" s="261"/>
      <c r="J68" s="5">
        <v>10</v>
      </c>
      <c r="K68" s="5">
        <v>9</v>
      </c>
      <c r="L68" s="5">
        <v>0</v>
      </c>
      <c r="M68" s="6">
        <v>6.5</v>
      </c>
      <c r="N68" s="8"/>
      <c r="O68" s="8"/>
      <c r="P68" s="8"/>
      <c r="AC68" s="13"/>
    </row>
    <row r="69" spans="2:29" x14ac:dyDescent="0.25">
      <c r="B69" s="3">
        <v>1</v>
      </c>
      <c r="C69" s="8"/>
      <c r="D69" s="8"/>
      <c r="E69" s="5"/>
      <c r="F69" s="6">
        <v>1</v>
      </c>
      <c r="H69" s="126"/>
      <c r="I69" s="261"/>
      <c r="J69" s="5">
        <v>10</v>
      </c>
      <c r="K69" s="5">
        <v>9</v>
      </c>
      <c r="L69" s="5">
        <v>0</v>
      </c>
      <c r="M69" s="6">
        <v>7</v>
      </c>
      <c r="N69" s="8"/>
      <c r="O69" s="8"/>
      <c r="P69" s="8"/>
      <c r="AC69" s="13"/>
    </row>
    <row r="70" spans="2:29" x14ac:dyDescent="0.25">
      <c r="B70" s="3">
        <v>1</v>
      </c>
      <c r="C70" s="8"/>
      <c r="D70" s="8"/>
      <c r="E70" s="5"/>
      <c r="F70" s="6">
        <v>1</v>
      </c>
      <c r="H70" s="126"/>
      <c r="I70" s="261"/>
      <c r="J70" s="5">
        <v>10</v>
      </c>
      <c r="K70" s="5">
        <v>9.5</v>
      </c>
      <c r="L70" s="5">
        <v>0</v>
      </c>
      <c r="M70" s="6">
        <v>0</v>
      </c>
      <c r="N70" s="8"/>
      <c r="O70" s="8"/>
      <c r="P70" s="8"/>
      <c r="AC70" s="13"/>
    </row>
    <row r="71" spans="2:29" x14ac:dyDescent="0.25">
      <c r="B71" s="3">
        <v>2</v>
      </c>
      <c r="C71" s="8"/>
      <c r="D71" s="8"/>
      <c r="E71" s="5"/>
      <c r="F71" s="6">
        <v>1</v>
      </c>
      <c r="H71" s="126"/>
      <c r="I71" s="261"/>
      <c r="J71" s="5">
        <v>10</v>
      </c>
      <c r="K71" s="5">
        <v>10</v>
      </c>
      <c r="L71" s="5">
        <v>0</v>
      </c>
      <c r="M71" s="6">
        <v>0</v>
      </c>
      <c r="N71" s="8"/>
      <c r="O71" s="8"/>
      <c r="P71" s="8"/>
      <c r="AC71" s="13"/>
    </row>
    <row r="72" spans="2:29" x14ac:dyDescent="0.25">
      <c r="B72" s="3">
        <v>2</v>
      </c>
      <c r="C72" s="8"/>
      <c r="D72" s="8"/>
      <c r="E72" s="5"/>
      <c r="F72" s="6">
        <v>1</v>
      </c>
      <c r="H72" s="126"/>
      <c r="I72" s="261"/>
      <c r="J72" s="5">
        <v>10</v>
      </c>
      <c r="K72" s="5">
        <v>9.5</v>
      </c>
      <c r="L72" s="5">
        <v>0</v>
      </c>
      <c r="M72" s="6">
        <v>0</v>
      </c>
      <c r="N72" s="8"/>
      <c r="O72" s="8"/>
      <c r="P72" s="8"/>
      <c r="Q72" s="25"/>
      <c r="AC72" s="13"/>
    </row>
    <row r="73" spans="2:29" x14ac:dyDescent="0.25">
      <c r="B73" s="3">
        <v>2</v>
      </c>
      <c r="C73" s="8"/>
      <c r="D73" s="8"/>
      <c r="E73" s="5"/>
      <c r="F73" s="6">
        <v>1</v>
      </c>
      <c r="H73" s="126"/>
      <c r="I73" s="261"/>
      <c r="J73" s="5">
        <v>10</v>
      </c>
      <c r="K73" s="5">
        <v>10</v>
      </c>
      <c r="L73" s="5">
        <v>0</v>
      </c>
      <c r="M73" s="6">
        <v>0</v>
      </c>
      <c r="N73" s="8"/>
      <c r="O73" s="8"/>
      <c r="P73" s="8"/>
      <c r="Q73" s="8"/>
      <c r="AC73" s="13"/>
    </row>
    <row r="74" spans="2:29" x14ac:dyDescent="0.25">
      <c r="B74" s="3">
        <v>5</v>
      </c>
      <c r="C74" s="8"/>
      <c r="D74" s="8"/>
      <c r="E74" s="5"/>
      <c r="F74" s="6">
        <v>0</v>
      </c>
      <c r="H74" s="126"/>
      <c r="I74" s="261"/>
      <c r="J74" s="5">
        <v>9</v>
      </c>
      <c r="K74" s="5">
        <v>9</v>
      </c>
      <c r="L74" s="5">
        <v>0</v>
      </c>
      <c r="M74" s="6">
        <v>7</v>
      </c>
      <c r="N74" s="8"/>
      <c r="O74" s="8"/>
      <c r="P74" s="8"/>
      <c r="Q74" s="8"/>
    </row>
    <row r="75" spans="2:29" x14ac:dyDescent="0.25">
      <c r="B75" s="3">
        <v>5</v>
      </c>
      <c r="C75" s="8"/>
      <c r="D75" s="8"/>
      <c r="E75" s="5"/>
      <c r="F75" s="6">
        <v>0</v>
      </c>
      <c r="H75" s="126"/>
      <c r="I75" s="261"/>
      <c r="J75" s="5">
        <v>9</v>
      </c>
      <c r="K75" s="5">
        <v>9</v>
      </c>
      <c r="L75" s="5">
        <v>0</v>
      </c>
      <c r="M75" s="6">
        <v>7</v>
      </c>
      <c r="N75" s="8"/>
      <c r="O75" s="8"/>
      <c r="P75" s="8"/>
      <c r="Q75" s="8"/>
    </row>
    <row r="76" spans="2:29" x14ac:dyDescent="0.25">
      <c r="B76" s="3">
        <v>5</v>
      </c>
      <c r="C76" s="8"/>
      <c r="D76" s="8"/>
      <c r="E76" s="5"/>
      <c r="F76" s="6">
        <v>0</v>
      </c>
      <c r="H76" s="126"/>
      <c r="I76" s="261"/>
      <c r="J76" s="5">
        <v>9</v>
      </c>
      <c r="K76" s="5">
        <v>10</v>
      </c>
      <c r="L76" s="5">
        <v>0</v>
      </c>
      <c r="M76" s="6">
        <v>8</v>
      </c>
      <c r="N76" s="8"/>
      <c r="O76" s="8"/>
      <c r="P76" s="8"/>
      <c r="Q76" s="8"/>
    </row>
    <row r="77" spans="2:29" x14ac:dyDescent="0.25">
      <c r="B77" s="3">
        <v>5</v>
      </c>
      <c r="C77" s="8"/>
      <c r="D77" s="8"/>
      <c r="E77" s="5"/>
      <c r="F77" s="6">
        <v>0</v>
      </c>
      <c r="H77" s="126"/>
      <c r="I77" s="261"/>
      <c r="J77" s="5">
        <v>9</v>
      </c>
      <c r="K77" s="5">
        <v>10</v>
      </c>
      <c r="L77" s="5">
        <v>0</v>
      </c>
      <c r="M77" s="6">
        <v>0</v>
      </c>
      <c r="N77" s="8"/>
      <c r="O77" s="8"/>
      <c r="P77" s="8"/>
      <c r="Q77" s="8"/>
    </row>
    <row r="78" spans="2:29" x14ac:dyDescent="0.25">
      <c r="B78" s="3">
        <v>5</v>
      </c>
      <c r="C78" s="8"/>
      <c r="D78" s="8"/>
      <c r="E78" s="5"/>
      <c r="F78" s="6">
        <v>0</v>
      </c>
      <c r="H78" s="126"/>
      <c r="I78" s="261"/>
      <c r="J78" s="5">
        <v>9.5</v>
      </c>
      <c r="K78" s="5">
        <v>9.5</v>
      </c>
      <c r="L78" s="5">
        <v>0</v>
      </c>
      <c r="M78" s="6">
        <v>0</v>
      </c>
      <c r="N78" s="8"/>
      <c r="O78" s="8"/>
      <c r="P78" s="8"/>
      <c r="Q78" s="8"/>
    </row>
    <row r="79" spans="2:29" x14ac:dyDescent="0.25">
      <c r="B79" s="3">
        <v>5</v>
      </c>
      <c r="C79" s="8"/>
      <c r="D79" s="8"/>
      <c r="E79" s="5"/>
      <c r="F79" s="6">
        <v>0</v>
      </c>
      <c r="H79" s="126"/>
      <c r="I79" s="261"/>
      <c r="J79" s="5">
        <v>9.5</v>
      </c>
      <c r="K79" s="5">
        <v>9</v>
      </c>
      <c r="L79" s="5">
        <v>0</v>
      </c>
      <c r="M79" s="6">
        <v>0</v>
      </c>
      <c r="N79" s="8"/>
      <c r="O79" s="8"/>
      <c r="P79" s="8"/>
      <c r="Q79" s="8"/>
    </row>
    <row r="80" spans="2:29" x14ac:dyDescent="0.25">
      <c r="B80" s="3">
        <v>5</v>
      </c>
      <c r="C80" s="8"/>
      <c r="D80" s="8"/>
      <c r="E80" s="5"/>
      <c r="F80" s="6">
        <v>0</v>
      </c>
      <c r="H80" s="126"/>
      <c r="I80" s="261"/>
      <c r="J80" s="5">
        <v>9.5</v>
      </c>
      <c r="K80" s="5">
        <v>9</v>
      </c>
      <c r="L80" s="5">
        <v>0</v>
      </c>
      <c r="M80" s="6">
        <v>0</v>
      </c>
      <c r="N80" s="8"/>
      <c r="O80" s="8"/>
      <c r="P80" s="8"/>
      <c r="Q80" s="8"/>
    </row>
    <row r="81" spans="2:29" x14ac:dyDescent="0.25">
      <c r="B81" s="3">
        <v>5</v>
      </c>
      <c r="C81" s="8"/>
      <c r="D81" s="8"/>
      <c r="E81" s="5"/>
      <c r="F81" s="6">
        <v>0</v>
      </c>
      <c r="H81" s="126"/>
      <c r="I81" s="261"/>
      <c r="J81" s="5">
        <v>10</v>
      </c>
      <c r="K81" s="5">
        <v>9.5</v>
      </c>
      <c r="L81" s="5">
        <v>0</v>
      </c>
      <c r="M81" s="6">
        <v>0</v>
      </c>
      <c r="N81" s="8"/>
      <c r="O81" s="8"/>
      <c r="P81" s="8"/>
      <c r="Q81" s="8"/>
    </row>
    <row r="82" spans="2:29" x14ac:dyDescent="0.25">
      <c r="B82" s="17">
        <v>5</v>
      </c>
      <c r="C82" s="41"/>
      <c r="D82" s="41"/>
      <c r="E82" s="18"/>
      <c r="F82" s="19">
        <v>0</v>
      </c>
      <c r="H82" s="126"/>
      <c r="I82" s="261"/>
      <c r="J82" s="5">
        <v>10</v>
      </c>
      <c r="K82" s="5">
        <v>9.5</v>
      </c>
      <c r="L82" s="5">
        <v>0</v>
      </c>
      <c r="M82" s="6">
        <v>0</v>
      </c>
      <c r="N82" s="8"/>
      <c r="O82" s="8"/>
      <c r="P82" s="8"/>
      <c r="Q82" s="8"/>
    </row>
    <row r="83" spans="2:29" x14ac:dyDescent="0.25">
      <c r="H83" s="126"/>
      <c r="I83" s="262"/>
      <c r="J83" s="18">
        <v>10</v>
      </c>
      <c r="K83" s="18">
        <v>9</v>
      </c>
      <c r="L83" s="18">
        <v>0</v>
      </c>
      <c r="M83" s="19">
        <v>0</v>
      </c>
      <c r="N83" s="8"/>
      <c r="O83" s="8"/>
      <c r="P83" s="8"/>
      <c r="Q83" s="8"/>
    </row>
    <row r="84" spans="2:29" x14ac:dyDescent="0.25">
      <c r="H84" s="126"/>
      <c r="I84" s="260" t="s">
        <v>52</v>
      </c>
      <c r="J84" s="5">
        <v>7</v>
      </c>
      <c r="K84" s="5">
        <v>8</v>
      </c>
      <c r="L84" s="5">
        <v>6.5</v>
      </c>
      <c r="M84" s="6">
        <v>6</v>
      </c>
      <c r="N84" s="8"/>
      <c r="O84" s="8"/>
      <c r="P84" s="8"/>
      <c r="Q84" s="8"/>
      <c r="AC84" s="13"/>
    </row>
    <row r="85" spans="2:29" x14ac:dyDescent="0.25">
      <c r="H85" s="96"/>
      <c r="I85" s="261"/>
      <c r="J85" s="5">
        <v>10</v>
      </c>
      <c r="K85" s="5">
        <v>8</v>
      </c>
      <c r="L85" s="5">
        <v>6.5</v>
      </c>
      <c r="M85" s="6">
        <v>6</v>
      </c>
      <c r="N85" s="8"/>
      <c r="O85" s="8"/>
      <c r="P85" s="8"/>
      <c r="Q85" s="8"/>
      <c r="AC85" s="13"/>
    </row>
    <row r="86" spans="2:29" x14ac:dyDescent="0.25">
      <c r="H86" s="96"/>
      <c r="I86" s="261"/>
      <c r="J86" s="5">
        <v>10</v>
      </c>
      <c r="K86" s="5">
        <v>9</v>
      </c>
      <c r="L86" s="5">
        <v>0</v>
      </c>
      <c r="M86" s="6">
        <v>6</v>
      </c>
      <c r="N86" s="8"/>
      <c r="O86" s="8"/>
      <c r="P86" s="8"/>
      <c r="Q86" s="8"/>
      <c r="AC86" s="13"/>
    </row>
    <row r="87" spans="2:29" x14ac:dyDescent="0.25">
      <c r="H87" s="96"/>
      <c r="I87" s="261"/>
      <c r="J87" s="5">
        <v>9</v>
      </c>
      <c r="K87" s="5">
        <v>9.5</v>
      </c>
      <c r="L87" s="5">
        <v>0</v>
      </c>
      <c r="M87" s="6">
        <v>6</v>
      </c>
      <c r="N87" s="8"/>
      <c r="O87" s="8"/>
      <c r="P87" s="8"/>
      <c r="Q87" s="8"/>
      <c r="AC87" s="13"/>
    </row>
    <row r="88" spans="2:29" x14ac:dyDescent="0.25">
      <c r="H88" s="96"/>
      <c r="I88" s="261"/>
      <c r="J88" s="5">
        <v>9</v>
      </c>
      <c r="K88" s="5">
        <v>9.5</v>
      </c>
      <c r="L88" s="5">
        <v>0</v>
      </c>
      <c r="M88" s="6">
        <v>6.5</v>
      </c>
      <c r="N88" s="8"/>
      <c r="O88" s="8"/>
      <c r="P88" s="8"/>
      <c r="Q88" s="8"/>
      <c r="AC88" s="13"/>
    </row>
    <row r="89" spans="2:29" x14ac:dyDescent="0.25">
      <c r="H89" s="96"/>
      <c r="I89" s="261"/>
      <c r="J89" s="5">
        <v>10</v>
      </c>
      <c r="K89" s="5">
        <v>10</v>
      </c>
      <c r="L89" s="5">
        <v>0</v>
      </c>
      <c r="M89" s="6">
        <v>6.5</v>
      </c>
      <c r="N89" s="8"/>
      <c r="O89" s="8"/>
      <c r="P89" s="8"/>
      <c r="Q89" s="8"/>
      <c r="AC89" s="13"/>
    </row>
    <row r="90" spans="2:29" x14ac:dyDescent="0.25">
      <c r="I90" s="261"/>
      <c r="J90" s="5">
        <v>10</v>
      </c>
      <c r="K90" s="5">
        <v>10</v>
      </c>
      <c r="L90" s="5">
        <v>0</v>
      </c>
      <c r="M90" s="6">
        <v>0</v>
      </c>
      <c r="N90" s="8"/>
      <c r="O90" s="8"/>
      <c r="P90" s="8"/>
      <c r="Q90" s="8"/>
      <c r="AC90" s="13"/>
    </row>
    <row r="91" spans="2:29" x14ac:dyDescent="0.25">
      <c r="I91" s="261"/>
      <c r="J91" s="5">
        <v>10</v>
      </c>
      <c r="K91" s="5">
        <v>10</v>
      </c>
      <c r="L91" s="5">
        <v>0</v>
      </c>
      <c r="M91" s="6">
        <v>0</v>
      </c>
      <c r="N91" s="8"/>
      <c r="O91" s="8"/>
      <c r="P91" s="8"/>
      <c r="Q91" s="8"/>
      <c r="AC91" s="13"/>
    </row>
    <row r="92" spans="2:29" x14ac:dyDescent="0.25">
      <c r="I92" s="261"/>
      <c r="J92" s="5">
        <v>10</v>
      </c>
      <c r="K92" s="5">
        <v>10</v>
      </c>
      <c r="L92" s="5">
        <v>0</v>
      </c>
      <c r="M92" s="6">
        <v>0</v>
      </c>
      <c r="N92" s="8"/>
      <c r="O92" s="8"/>
      <c r="P92" s="8"/>
      <c r="Q92" s="8"/>
      <c r="AC92" s="13"/>
    </row>
    <row r="93" spans="2:29" x14ac:dyDescent="0.25">
      <c r="I93" s="261"/>
      <c r="J93" s="5">
        <v>10</v>
      </c>
      <c r="K93" s="5">
        <v>10</v>
      </c>
      <c r="L93" s="5">
        <v>0</v>
      </c>
      <c r="M93" s="6">
        <v>0</v>
      </c>
      <c r="N93" s="8"/>
      <c r="O93" s="8"/>
      <c r="P93" s="8"/>
      <c r="Q93" s="8"/>
      <c r="AC93" s="13"/>
    </row>
    <row r="94" spans="2:29" x14ac:dyDescent="0.25">
      <c r="I94" s="261"/>
      <c r="J94" s="5">
        <v>8</v>
      </c>
      <c r="K94" s="5">
        <v>9</v>
      </c>
      <c r="L94" s="5">
        <v>0</v>
      </c>
      <c r="M94" s="6">
        <v>6</v>
      </c>
      <c r="N94" s="8"/>
      <c r="O94" s="8"/>
      <c r="P94" s="8"/>
      <c r="Q94" s="8"/>
    </row>
    <row r="95" spans="2:29" x14ac:dyDescent="0.25">
      <c r="I95" s="261"/>
      <c r="J95" s="5">
        <v>8</v>
      </c>
      <c r="K95" s="5">
        <v>9</v>
      </c>
      <c r="L95" s="5">
        <v>0</v>
      </c>
      <c r="M95" s="6">
        <v>6</v>
      </c>
      <c r="N95" s="8"/>
      <c r="O95" s="8"/>
      <c r="P95" s="8"/>
      <c r="Q95" s="8"/>
    </row>
    <row r="96" spans="2:29" x14ac:dyDescent="0.25">
      <c r="I96" s="261"/>
      <c r="J96" s="5">
        <v>10</v>
      </c>
      <c r="K96" s="5">
        <v>9</v>
      </c>
      <c r="L96" s="5">
        <v>0</v>
      </c>
      <c r="M96" s="6">
        <v>7.5</v>
      </c>
      <c r="N96" s="8"/>
      <c r="O96" s="8"/>
      <c r="P96" s="8"/>
      <c r="Q96" s="8"/>
    </row>
    <row r="97" spans="9:29" x14ac:dyDescent="0.25">
      <c r="I97" s="261"/>
      <c r="J97" s="5">
        <v>10</v>
      </c>
      <c r="K97" s="5">
        <v>9</v>
      </c>
      <c r="L97" s="5">
        <v>0</v>
      </c>
      <c r="M97" s="6">
        <v>0</v>
      </c>
      <c r="N97" s="8"/>
      <c r="O97" s="8"/>
      <c r="P97" s="8"/>
      <c r="Q97" s="8"/>
    </row>
    <row r="98" spans="9:29" x14ac:dyDescent="0.25">
      <c r="I98" s="261"/>
      <c r="J98" s="5">
        <v>10</v>
      </c>
      <c r="K98" s="5">
        <v>9</v>
      </c>
      <c r="L98" s="5">
        <v>0</v>
      </c>
      <c r="M98" s="6">
        <v>0</v>
      </c>
      <c r="N98" s="8"/>
      <c r="O98" s="8"/>
      <c r="P98" s="8"/>
      <c r="Q98" s="8"/>
    </row>
    <row r="99" spans="9:29" x14ac:dyDescent="0.25">
      <c r="I99" s="261"/>
      <c r="J99" s="5">
        <v>10</v>
      </c>
      <c r="K99" s="5">
        <v>9</v>
      </c>
      <c r="L99" s="5">
        <v>0</v>
      </c>
      <c r="M99" s="6">
        <v>0</v>
      </c>
      <c r="N99" s="8"/>
      <c r="O99" s="8"/>
      <c r="P99" s="8"/>
      <c r="Q99" s="8"/>
    </row>
    <row r="100" spans="9:29" x14ac:dyDescent="0.25">
      <c r="I100" s="261"/>
      <c r="J100" s="5">
        <v>10</v>
      </c>
      <c r="K100" s="5">
        <v>10</v>
      </c>
      <c r="L100" s="5">
        <v>0</v>
      </c>
      <c r="M100" s="6">
        <v>0</v>
      </c>
      <c r="N100" s="8"/>
      <c r="O100" s="8"/>
      <c r="P100" s="8"/>
    </row>
    <row r="101" spans="9:29" x14ac:dyDescent="0.25">
      <c r="I101" s="261"/>
      <c r="J101" s="5">
        <v>10</v>
      </c>
      <c r="K101" s="5">
        <v>10</v>
      </c>
      <c r="L101" s="5">
        <v>0</v>
      </c>
      <c r="M101" s="6">
        <v>0</v>
      </c>
      <c r="N101" s="8"/>
      <c r="O101" s="8"/>
      <c r="P101" s="8"/>
      <c r="Q101" s="8"/>
    </row>
    <row r="102" spans="9:29" x14ac:dyDescent="0.25">
      <c r="I102" s="261"/>
      <c r="J102" s="5">
        <v>10</v>
      </c>
      <c r="K102" s="5">
        <v>10</v>
      </c>
      <c r="L102" s="5">
        <v>0</v>
      </c>
      <c r="M102" s="6">
        <v>0</v>
      </c>
      <c r="N102" s="8"/>
      <c r="O102" s="8"/>
      <c r="P102" s="8"/>
      <c r="Q102" s="8"/>
    </row>
    <row r="103" spans="9:29" x14ac:dyDescent="0.25">
      <c r="I103" s="261"/>
      <c r="J103" s="5">
        <v>10</v>
      </c>
      <c r="K103" s="5">
        <v>10</v>
      </c>
      <c r="L103" s="5">
        <v>0</v>
      </c>
      <c r="M103" s="6">
        <v>0</v>
      </c>
      <c r="N103" s="8"/>
      <c r="O103" s="8"/>
      <c r="P103" s="8"/>
      <c r="Q103" s="8"/>
    </row>
    <row r="104" spans="9:29" x14ac:dyDescent="0.25">
      <c r="N104" s="8"/>
      <c r="O104" s="8"/>
      <c r="P104" s="8"/>
      <c r="Q104" s="8"/>
      <c r="X104" s="43"/>
      <c r="Y104" s="5"/>
      <c r="Z104" s="5"/>
      <c r="AA104" s="5"/>
      <c r="AB104" s="5"/>
      <c r="AC104" s="13"/>
    </row>
    <row r="105" spans="9:29" x14ac:dyDescent="0.25">
      <c r="N105" s="8"/>
      <c r="O105" s="8"/>
      <c r="P105" s="8"/>
      <c r="Q105" s="8"/>
      <c r="X105" s="43"/>
      <c r="Y105" s="5"/>
      <c r="Z105" s="5"/>
      <c r="AA105" s="5"/>
      <c r="AB105" s="5"/>
      <c r="AC105" s="13"/>
    </row>
    <row r="106" spans="9:29" x14ac:dyDescent="0.25">
      <c r="N106" s="8"/>
      <c r="O106" s="8"/>
      <c r="P106" s="8"/>
      <c r="Q106" s="8"/>
      <c r="X106" s="43"/>
      <c r="Y106" s="5"/>
      <c r="Z106" s="5"/>
      <c r="AA106" s="5"/>
      <c r="AB106" s="5"/>
      <c r="AC106" s="13"/>
    </row>
    <row r="107" spans="9:29" x14ac:dyDescent="0.25">
      <c r="N107" s="8"/>
      <c r="O107" s="8"/>
      <c r="P107" s="8"/>
      <c r="Q107" s="8"/>
      <c r="X107" s="43"/>
      <c r="Y107" s="5"/>
      <c r="Z107" s="5"/>
      <c r="AA107" s="5"/>
      <c r="AB107" s="5"/>
      <c r="AC107" s="13"/>
    </row>
    <row r="108" spans="9:29" x14ac:dyDescent="0.25">
      <c r="N108" s="8"/>
      <c r="O108" s="8"/>
      <c r="P108" s="8"/>
      <c r="Q108" s="8"/>
      <c r="X108" s="43"/>
      <c r="Y108" s="5"/>
      <c r="Z108" s="5"/>
      <c r="AA108" s="5"/>
      <c r="AB108" s="5"/>
      <c r="AC108" s="13"/>
    </row>
  </sheetData>
  <mergeCells count="7">
    <mergeCell ref="I64:I83"/>
    <mergeCell ref="I84:I103"/>
    <mergeCell ref="I24:I43"/>
    <mergeCell ref="I44:I63"/>
    <mergeCell ref="B2:F2"/>
    <mergeCell ref="I2:M2"/>
    <mergeCell ref="I4:I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CD85-C142-4E6A-B581-ABEAE4E6EE30}">
  <dimension ref="A1:T78"/>
  <sheetViews>
    <sheetView zoomScale="78" workbookViewId="0">
      <selection activeCell="O18" sqref="O18"/>
    </sheetView>
  </sheetViews>
  <sheetFormatPr defaultRowHeight="15" x14ac:dyDescent="0.25"/>
  <cols>
    <col min="2" max="2" width="10.85546875" customWidth="1"/>
    <col min="3" max="3" width="17.85546875" customWidth="1"/>
    <col min="4" max="4" width="21.85546875" customWidth="1"/>
    <col min="8" max="8" width="13.7109375" customWidth="1"/>
    <col min="9" max="9" width="18" customWidth="1"/>
    <col min="10" max="10" width="22.85546875" customWidth="1"/>
  </cols>
  <sheetData>
    <row r="1" spans="1:20" x14ac:dyDescent="0.25">
      <c r="A1" s="121" t="s">
        <v>244</v>
      </c>
    </row>
    <row r="2" spans="1:20" x14ac:dyDescent="0.25">
      <c r="A2" s="286" t="s">
        <v>67</v>
      </c>
      <c r="B2" s="287"/>
      <c r="C2" s="287"/>
      <c r="D2" s="288"/>
      <c r="F2" s="96"/>
      <c r="G2" s="115"/>
      <c r="H2" s="115"/>
      <c r="I2" s="115"/>
      <c r="J2" s="115"/>
      <c r="K2" s="96"/>
      <c r="L2" s="115"/>
      <c r="M2" s="115"/>
      <c r="N2" s="115"/>
      <c r="O2" s="115"/>
      <c r="P2" s="115"/>
      <c r="Q2" s="115"/>
      <c r="R2" s="115"/>
      <c r="S2" s="115"/>
      <c r="T2" s="115"/>
    </row>
    <row r="3" spans="1:20" x14ac:dyDescent="0.25">
      <c r="A3" s="3" t="s">
        <v>239</v>
      </c>
      <c r="B3" s="91" t="s">
        <v>240</v>
      </c>
      <c r="C3" s="91" t="s">
        <v>245</v>
      </c>
      <c r="D3" s="6" t="s">
        <v>246</v>
      </c>
      <c r="F3" s="96"/>
      <c r="G3" s="165"/>
      <c r="H3" s="165"/>
      <c r="I3" s="165"/>
      <c r="J3" s="165"/>
      <c r="K3" s="96"/>
      <c r="L3" s="115"/>
      <c r="M3" s="115"/>
      <c r="N3" s="115"/>
      <c r="O3" s="115"/>
      <c r="P3" s="115"/>
      <c r="Q3" s="115"/>
      <c r="R3" s="115"/>
      <c r="S3" s="115"/>
      <c r="T3" s="115"/>
    </row>
    <row r="4" spans="1:20" x14ac:dyDescent="0.25">
      <c r="A4" s="3">
        <v>19000000</v>
      </c>
      <c r="B4" s="91">
        <v>41750000</v>
      </c>
      <c r="C4" s="91">
        <v>12750000</v>
      </c>
      <c r="D4" s="6">
        <v>8250000</v>
      </c>
      <c r="E4" s="8"/>
      <c r="F4" s="130"/>
      <c r="G4" s="179"/>
      <c r="H4" s="179"/>
      <c r="I4" s="179"/>
      <c r="J4" s="179"/>
      <c r="K4" s="96"/>
      <c r="L4" s="115"/>
      <c r="M4" s="115"/>
      <c r="N4" s="115"/>
      <c r="O4" s="115"/>
      <c r="P4" s="115"/>
      <c r="Q4" s="115"/>
      <c r="R4" s="115"/>
      <c r="S4" s="115"/>
      <c r="T4" s="115"/>
    </row>
    <row r="5" spans="1:20" x14ac:dyDescent="0.25">
      <c r="A5" s="3">
        <v>24500000</v>
      </c>
      <c r="B5" s="91">
        <v>30750000</v>
      </c>
      <c r="C5" s="91">
        <v>18750000</v>
      </c>
      <c r="D5" s="6">
        <v>28000000</v>
      </c>
      <c r="E5" s="8"/>
      <c r="F5" s="130"/>
      <c r="G5" s="179"/>
      <c r="H5" s="179"/>
      <c r="I5" s="179"/>
      <c r="J5" s="179"/>
      <c r="K5" s="96"/>
      <c r="L5" s="115"/>
      <c r="M5" s="115"/>
      <c r="N5" s="115"/>
      <c r="O5" s="115"/>
      <c r="P5" s="115"/>
      <c r="Q5" s="115"/>
      <c r="R5" s="115"/>
      <c r="S5" s="115"/>
      <c r="T5" s="115"/>
    </row>
    <row r="6" spans="1:20" x14ac:dyDescent="0.25">
      <c r="A6" s="3">
        <v>27250000</v>
      </c>
      <c r="B6" s="91">
        <v>34750000</v>
      </c>
      <c r="C6" s="91">
        <v>9500000</v>
      </c>
      <c r="D6" s="6">
        <v>28250000</v>
      </c>
      <c r="E6" s="8"/>
      <c r="F6" s="164"/>
      <c r="G6" s="179"/>
      <c r="H6" s="179"/>
      <c r="I6" s="179"/>
      <c r="J6" s="179"/>
      <c r="K6" s="96"/>
      <c r="L6" s="115"/>
      <c r="M6" s="115"/>
      <c r="N6" s="115"/>
      <c r="O6" s="115"/>
      <c r="P6" s="115"/>
      <c r="Q6" s="115"/>
      <c r="R6" s="115"/>
      <c r="S6" s="115"/>
      <c r="T6" s="115"/>
    </row>
    <row r="7" spans="1:20" x14ac:dyDescent="0.25">
      <c r="A7" s="3">
        <v>33750000</v>
      </c>
      <c r="B7" s="91">
        <v>49750000</v>
      </c>
      <c r="C7" s="91">
        <v>11250000</v>
      </c>
      <c r="D7" s="6">
        <v>15000000</v>
      </c>
      <c r="E7" s="8"/>
      <c r="F7" s="130"/>
      <c r="G7" s="179"/>
      <c r="H7" s="179"/>
      <c r="I7" s="179"/>
      <c r="J7" s="179"/>
      <c r="K7" s="96"/>
      <c r="L7" s="115"/>
      <c r="M7" s="115"/>
      <c r="N7" s="115"/>
      <c r="O7" s="115"/>
      <c r="P7" s="115"/>
      <c r="Q7" s="115"/>
      <c r="R7" s="115"/>
      <c r="S7" s="115"/>
      <c r="T7" s="115"/>
    </row>
    <row r="8" spans="1:20" x14ac:dyDescent="0.25">
      <c r="A8" s="3">
        <v>11750000</v>
      </c>
      <c r="B8" s="91">
        <v>46000000</v>
      </c>
      <c r="C8" s="91">
        <v>12750000</v>
      </c>
      <c r="D8" s="6">
        <v>8750000</v>
      </c>
      <c r="E8" s="8"/>
      <c r="F8" s="130"/>
      <c r="G8" s="113"/>
      <c r="H8" s="179"/>
      <c r="I8" s="179"/>
      <c r="J8" s="179"/>
      <c r="K8" s="96"/>
      <c r="L8" s="115"/>
      <c r="M8" s="115"/>
      <c r="N8" s="115"/>
      <c r="O8" s="115"/>
      <c r="P8" s="115"/>
      <c r="Q8" s="115"/>
      <c r="R8" s="115"/>
      <c r="S8" s="115"/>
      <c r="T8" s="115"/>
    </row>
    <row r="9" spans="1:20" x14ac:dyDescent="0.25">
      <c r="A9" s="3">
        <v>11750000</v>
      </c>
      <c r="B9" s="91">
        <v>15250000</v>
      </c>
      <c r="C9" s="91">
        <v>8250000</v>
      </c>
      <c r="D9" s="6">
        <v>14500000</v>
      </c>
      <c r="F9" s="96"/>
      <c r="G9" s="143"/>
      <c r="H9" s="179"/>
      <c r="I9" s="179"/>
      <c r="J9" s="179"/>
      <c r="K9" s="96"/>
      <c r="L9" s="115"/>
      <c r="M9" s="115"/>
      <c r="N9" s="115"/>
      <c r="O9" s="115"/>
      <c r="P9" s="115"/>
      <c r="Q9" s="115"/>
      <c r="R9" s="115"/>
      <c r="S9" s="115"/>
      <c r="T9" s="115"/>
    </row>
    <row r="10" spans="1:20" x14ac:dyDescent="0.25">
      <c r="A10" s="3">
        <v>8750000</v>
      </c>
      <c r="B10" s="91">
        <v>13500000</v>
      </c>
      <c r="C10" s="91">
        <v>11500000</v>
      </c>
      <c r="D10" s="6">
        <v>9750000</v>
      </c>
      <c r="F10" s="99"/>
      <c r="G10" s="143"/>
      <c r="H10" s="179"/>
      <c r="I10" s="179"/>
      <c r="J10" s="179"/>
      <c r="K10" s="96"/>
      <c r="L10" s="115"/>
      <c r="M10" s="115"/>
      <c r="N10" s="115"/>
      <c r="O10" s="115"/>
      <c r="P10" s="115"/>
      <c r="Q10" s="115"/>
      <c r="R10" s="115"/>
      <c r="S10" s="115"/>
      <c r="T10" s="115"/>
    </row>
    <row r="11" spans="1:20" x14ac:dyDescent="0.25">
      <c r="A11" s="3">
        <v>15500000</v>
      </c>
      <c r="B11" s="91">
        <v>12250000</v>
      </c>
      <c r="C11" s="91">
        <v>5000000</v>
      </c>
      <c r="D11" s="6">
        <v>21500000</v>
      </c>
      <c r="F11" s="99"/>
      <c r="G11" s="143"/>
      <c r="H11" s="179"/>
      <c r="I11" s="179"/>
      <c r="J11" s="179"/>
      <c r="K11" s="96"/>
      <c r="L11" s="115"/>
      <c r="M11" s="115"/>
      <c r="N11" s="115"/>
      <c r="O11" s="115"/>
      <c r="P11" s="115"/>
      <c r="Q11" s="115"/>
      <c r="R11" s="115"/>
      <c r="S11" s="115"/>
      <c r="T11" s="115"/>
    </row>
    <row r="12" spans="1:20" x14ac:dyDescent="0.25">
      <c r="A12" s="3">
        <v>14250000</v>
      </c>
      <c r="B12" s="91">
        <v>17500000</v>
      </c>
      <c r="C12" s="91">
        <v>6500000</v>
      </c>
      <c r="D12" s="6">
        <v>16750000</v>
      </c>
      <c r="F12" s="99"/>
      <c r="G12" s="143"/>
      <c r="H12" s="179"/>
      <c r="I12" s="179"/>
      <c r="J12" s="179"/>
      <c r="K12" s="96"/>
      <c r="L12" s="115"/>
      <c r="M12" s="115"/>
      <c r="N12" s="115"/>
      <c r="O12" s="115"/>
      <c r="P12" s="115"/>
      <c r="Q12" s="115"/>
      <c r="R12" s="115"/>
      <c r="S12" s="115"/>
      <c r="T12" s="115"/>
    </row>
    <row r="13" spans="1:20" x14ac:dyDescent="0.25">
      <c r="A13" s="3">
        <v>23500000</v>
      </c>
      <c r="B13" s="91">
        <v>41500000</v>
      </c>
      <c r="C13" s="91">
        <v>9750000</v>
      </c>
      <c r="D13" s="6">
        <v>3750000</v>
      </c>
      <c r="F13" s="99"/>
      <c r="G13" s="143"/>
      <c r="H13" s="179"/>
      <c r="I13" s="179"/>
      <c r="J13" s="179"/>
      <c r="K13" s="96"/>
      <c r="L13" s="115"/>
      <c r="M13" s="115"/>
      <c r="N13" s="115"/>
      <c r="O13" s="115"/>
      <c r="P13" s="115"/>
      <c r="Q13" s="115"/>
      <c r="R13" s="115"/>
      <c r="S13" s="115"/>
      <c r="T13" s="115"/>
    </row>
    <row r="14" spans="1:20" x14ac:dyDescent="0.25">
      <c r="A14" s="3">
        <v>11000000</v>
      </c>
      <c r="B14" s="91">
        <v>33000000</v>
      </c>
      <c r="C14" s="91">
        <v>8750000</v>
      </c>
      <c r="D14" s="6">
        <v>7250000</v>
      </c>
      <c r="F14" s="99"/>
      <c r="G14" s="143"/>
      <c r="H14" s="179"/>
      <c r="I14" s="179"/>
      <c r="J14" s="179"/>
      <c r="K14" s="96"/>
      <c r="L14" s="115"/>
      <c r="M14" s="115"/>
      <c r="N14" s="115"/>
      <c r="O14" s="115"/>
      <c r="P14" s="115"/>
      <c r="Q14" s="115"/>
      <c r="R14" s="115"/>
      <c r="S14" s="115"/>
      <c r="T14" s="115"/>
    </row>
    <row r="15" spans="1:20" x14ac:dyDescent="0.25">
      <c r="A15" s="3">
        <v>14750000</v>
      </c>
      <c r="B15" s="91">
        <v>12750000</v>
      </c>
      <c r="C15" s="91">
        <v>9000000</v>
      </c>
      <c r="D15" s="6">
        <v>7250000</v>
      </c>
      <c r="F15" s="96"/>
      <c r="G15" s="143"/>
      <c r="H15" s="179"/>
      <c r="I15" s="179"/>
      <c r="J15" s="179"/>
      <c r="K15" s="96"/>
      <c r="L15" s="115"/>
      <c r="M15" s="115"/>
      <c r="N15" s="115"/>
      <c r="O15" s="115"/>
      <c r="P15" s="115"/>
      <c r="Q15" s="115"/>
      <c r="R15" s="115"/>
      <c r="S15" s="115"/>
      <c r="T15" s="115"/>
    </row>
    <row r="16" spans="1:20" x14ac:dyDescent="0.25">
      <c r="A16" s="3">
        <v>17000000</v>
      </c>
      <c r="B16" s="91">
        <v>28500000</v>
      </c>
      <c r="C16" s="91">
        <v>6250000</v>
      </c>
      <c r="D16" s="6">
        <v>13250000</v>
      </c>
      <c r="F16" s="96"/>
      <c r="G16" s="143"/>
      <c r="H16" s="179"/>
      <c r="I16" s="179"/>
      <c r="J16" s="179"/>
      <c r="K16" s="96"/>
      <c r="L16" s="115"/>
      <c r="M16" s="115"/>
      <c r="N16" s="115"/>
      <c r="O16" s="115"/>
      <c r="P16" s="115"/>
      <c r="Q16" s="115"/>
      <c r="R16" s="115"/>
      <c r="S16" s="115"/>
      <c r="T16" s="115"/>
    </row>
    <row r="17" spans="1:20" x14ac:dyDescent="0.25">
      <c r="A17" s="3">
        <v>10500000</v>
      </c>
      <c r="B17" s="91">
        <v>44250000</v>
      </c>
      <c r="C17" s="91">
        <v>5500000</v>
      </c>
      <c r="D17" s="6">
        <v>15750000</v>
      </c>
      <c r="F17" s="96"/>
      <c r="G17" s="143"/>
      <c r="H17" s="179"/>
      <c r="I17" s="179"/>
      <c r="J17" s="179"/>
      <c r="K17" s="96"/>
      <c r="L17" s="115"/>
      <c r="M17" s="115"/>
      <c r="N17" s="115"/>
      <c r="O17" s="115"/>
      <c r="P17" s="115"/>
      <c r="Q17" s="115"/>
      <c r="R17" s="115"/>
      <c r="S17" s="115"/>
      <c r="T17" s="115"/>
    </row>
    <row r="18" spans="1:20" x14ac:dyDescent="0.25">
      <c r="A18" s="3">
        <v>17000000</v>
      </c>
      <c r="B18" s="91">
        <v>14000000</v>
      </c>
      <c r="C18" s="91">
        <v>5250000</v>
      </c>
      <c r="D18" s="6">
        <v>15750000</v>
      </c>
      <c r="F18" s="96"/>
      <c r="G18" s="143"/>
      <c r="H18" s="179"/>
      <c r="I18" s="179"/>
      <c r="J18" s="179"/>
      <c r="K18" s="96"/>
      <c r="L18" s="115"/>
      <c r="M18" s="115"/>
      <c r="N18" s="115"/>
      <c r="O18" s="115"/>
      <c r="P18" s="115"/>
      <c r="Q18" s="115"/>
      <c r="R18" s="115"/>
      <c r="S18" s="115"/>
      <c r="T18" s="115"/>
    </row>
    <row r="19" spans="1:20" x14ac:dyDescent="0.25">
      <c r="A19" s="3">
        <v>13250000</v>
      </c>
      <c r="B19" s="91">
        <v>19000000</v>
      </c>
      <c r="C19" s="91">
        <v>8750000</v>
      </c>
      <c r="D19" s="6">
        <v>24000000</v>
      </c>
      <c r="F19" s="96"/>
      <c r="G19" s="143"/>
      <c r="H19" s="179"/>
      <c r="I19" s="179"/>
      <c r="J19" s="179"/>
      <c r="K19" s="96"/>
      <c r="L19" s="115"/>
      <c r="M19" s="115"/>
      <c r="N19" s="115"/>
      <c r="O19" s="115"/>
      <c r="P19" s="115"/>
      <c r="Q19" s="115"/>
      <c r="R19" s="115"/>
      <c r="S19" s="115"/>
      <c r="T19" s="115"/>
    </row>
    <row r="20" spans="1:20" x14ac:dyDescent="0.25">
      <c r="A20" s="3">
        <v>25750000</v>
      </c>
      <c r="B20" s="91">
        <v>28500000</v>
      </c>
      <c r="C20" s="91">
        <v>8500000</v>
      </c>
      <c r="D20" s="6">
        <v>9250000</v>
      </c>
      <c r="F20" s="96"/>
      <c r="G20" s="143"/>
      <c r="H20" s="179"/>
      <c r="I20" s="179"/>
      <c r="J20" s="179"/>
      <c r="K20" s="96"/>
      <c r="L20" s="115"/>
      <c r="M20" s="115"/>
      <c r="N20" s="115"/>
      <c r="O20" s="115"/>
      <c r="P20" s="115"/>
      <c r="Q20" s="115"/>
      <c r="R20" s="115"/>
      <c r="S20" s="115"/>
      <c r="T20" s="115"/>
    </row>
    <row r="21" spans="1:20" x14ac:dyDescent="0.25">
      <c r="A21" s="3">
        <v>21000000</v>
      </c>
      <c r="B21" s="91">
        <v>23000000</v>
      </c>
      <c r="C21" s="91">
        <v>7500000</v>
      </c>
      <c r="D21" s="6">
        <v>18000000</v>
      </c>
      <c r="F21" s="96"/>
      <c r="G21" s="143"/>
      <c r="H21" s="179"/>
      <c r="I21" s="179"/>
      <c r="J21" s="179"/>
      <c r="K21" s="96"/>
      <c r="L21" s="115"/>
      <c r="M21" s="115"/>
      <c r="N21" s="115"/>
      <c r="O21" s="115"/>
      <c r="P21" s="115"/>
      <c r="Q21" s="115"/>
      <c r="R21" s="115"/>
      <c r="S21" s="115"/>
      <c r="T21" s="115"/>
    </row>
    <row r="22" spans="1:20" x14ac:dyDescent="0.25">
      <c r="A22" s="3">
        <v>12250000</v>
      </c>
      <c r="B22" s="91">
        <v>37750000</v>
      </c>
      <c r="C22" s="91">
        <v>4750000</v>
      </c>
      <c r="D22" s="6">
        <v>14250000</v>
      </c>
      <c r="F22" s="96"/>
      <c r="G22" s="143"/>
      <c r="H22" s="179"/>
      <c r="I22" s="179"/>
      <c r="J22" s="179"/>
      <c r="K22" s="96"/>
      <c r="L22" s="115"/>
      <c r="M22" s="115"/>
      <c r="N22" s="115"/>
      <c r="O22" s="115"/>
      <c r="P22" s="115"/>
      <c r="Q22" s="115"/>
      <c r="R22" s="115"/>
      <c r="S22" s="115"/>
      <c r="T22" s="115"/>
    </row>
    <row r="23" spans="1:20" x14ac:dyDescent="0.25">
      <c r="A23" s="17">
        <v>25250000</v>
      </c>
      <c r="B23" s="18">
        <v>43250000</v>
      </c>
      <c r="C23" s="18">
        <v>4250000</v>
      </c>
      <c r="D23" s="19">
        <v>21500000</v>
      </c>
      <c r="F23" s="96"/>
      <c r="G23" s="143"/>
      <c r="H23" s="179"/>
      <c r="I23" s="179"/>
      <c r="J23" s="179"/>
      <c r="K23" s="96"/>
      <c r="L23" s="115"/>
      <c r="M23" s="115"/>
      <c r="N23" s="115"/>
      <c r="O23" s="115"/>
      <c r="P23" s="115"/>
      <c r="Q23" s="115"/>
      <c r="R23" s="115"/>
      <c r="S23" s="115"/>
      <c r="T23" s="115"/>
    </row>
    <row r="24" spans="1:20" x14ac:dyDescent="0.25">
      <c r="F24" s="96"/>
      <c r="G24" s="165"/>
      <c r="H24" s="165"/>
      <c r="I24" s="165"/>
      <c r="J24" s="165"/>
      <c r="K24" s="96"/>
      <c r="L24" s="115"/>
      <c r="M24" s="115"/>
      <c r="N24" s="115"/>
      <c r="O24" s="115"/>
      <c r="P24" s="115"/>
      <c r="Q24" s="115"/>
      <c r="R24" s="115"/>
      <c r="S24" s="115"/>
      <c r="T24" s="115"/>
    </row>
    <row r="25" spans="1:20" x14ac:dyDescent="0.25">
      <c r="F25" s="96"/>
      <c r="G25" s="96"/>
      <c r="H25" s="96"/>
      <c r="I25" s="96"/>
      <c r="J25" s="96"/>
      <c r="K25" s="96"/>
      <c r="L25" s="115"/>
      <c r="M25" s="115"/>
      <c r="N25" s="115"/>
      <c r="O25" s="115"/>
      <c r="P25" s="115"/>
      <c r="Q25" s="115"/>
      <c r="R25" s="115"/>
      <c r="S25" s="115"/>
      <c r="T25" s="115"/>
    </row>
    <row r="26" spans="1:20" x14ac:dyDescent="0.25">
      <c r="L26" s="115"/>
      <c r="M26" s="115"/>
      <c r="N26" s="115"/>
      <c r="O26" s="115"/>
      <c r="P26" s="115"/>
      <c r="Q26" s="115"/>
      <c r="R26" s="115"/>
      <c r="S26" s="115"/>
      <c r="T26" s="115"/>
    </row>
    <row r="27" spans="1:20" x14ac:dyDescent="0.25">
      <c r="L27" s="115"/>
      <c r="M27" s="115"/>
      <c r="N27" s="115"/>
      <c r="O27" s="115"/>
      <c r="P27" s="115"/>
      <c r="Q27" s="115"/>
      <c r="R27" s="115"/>
      <c r="S27" s="115"/>
      <c r="T27" s="115"/>
    </row>
    <row r="28" spans="1:20" x14ac:dyDescent="0.25">
      <c r="L28" s="115"/>
      <c r="M28" s="115"/>
      <c r="N28" s="115"/>
      <c r="O28" s="115"/>
      <c r="P28" s="115"/>
      <c r="Q28" s="115"/>
      <c r="R28" s="115"/>
      <c r="S28" s="115"/>
      <c r="T28" s="115"/>
    </row>
    <row r="29" spans="1:20" x14ac:dyDescent="0.25">
      <c r="L29" s="115"/>
      <c r="M29" s="115"/>
      <c r="N29" s="115"/>
      <c r="O29" s="115"/>
      <c r="P29" s="115"/>
      <c r="Q29" s="115"/>
      <c r="R29" s="115"/>
      <c r="S29" s="115"/>
      <c r="T29" s="115"/>
    </row>
    <row r="30" spans="1:20" x14ac:dyDescent="0.25">
      <c r="L30" s="115"/>
      <c r="M30" s="115"/>
      <c r="N30" s="115"/>
      <c r="O30" s="115"/>
      <c r="P30" s="115"/>
      <c r="Q30" s="115"/>
      <c r="R30" s="115"/>
      <c r="S30" s="115"/>
      <c r="T30" s="115"/>
    </row>
    <row r="31" spans="1:20" x14ac:dyDescent="0.25">
      <c r="L31" s="115"/>
      <c r="M31" s="115"/>
      <c r="N31" s="115"/>
      <c r="O31" s="115"/>
      <c r="P31" s="115"/>
      <c r="Q31" s="115"/>
      <c r="R31" s="115"/>
      <c r="S31" s="115"/>
      <c r="T31" s="115"/>
    </row>
    <row r="32" spans="1:20" x14ac:dyDescent="0.25">
      <c r="L32" s="115"/>
      <c r="M32" s="115"/>
      <c r="N32" s="115"/>
      <c r="O32" s="115"/>
      <c r="P32" s="115"/>
      <c r="Q32" s="115"/>
      <c r="R32" s="115"/>
      <c r="S32" s="115"/>
      <c r="T32" s="115"/>
    </row>
    <row r="33" spans="6:20" x14ac:dyDescent="0.25">
      <c r="L33" s="115"/>
      <c r="M33" s="115"/>
      <c r="N33" s="115"/>
      <c r="O33" s="115"/>
      <c r="P33" s="115"/>
      <c r="Q33" s="115"/>
      <c r="R33" s="115"/>
      <c r="S33" s="115"/>
      <c r="T33" s="115"/>
    </row>
    <row r="34" spans="6:20" x14ac:dyDescent="0.25">
      <c r="L34" s="115"/>
      <c r="M34" s="115"/>
      <c r="N34" s="115"/>
      <c r="O34" s="115"/>
      <c r="P34" s="115"/>
      <c r="Q34" s="115"/>
      <c r="R34" s="115"/>
      <c r="S34" s="115"/>
      <c r="T34" s="115"/>
    </row>
    <row r="35" spans="6:20" x14ac:dyDescent="0.25">
      <c r="L35" s="115"/>
      <c r="M35" s="115"/>
      <c r="N35" s="115"/>
      <c r="O35" s="115"/>
      <c r="P35" s="115"/>
      <c r="Q35" s="115"/>
      <c r="R35" s="115"/>
      <c r="S35" s="115"/>
      <c r="T35" s="115"/>
    </row>
    <row r="36" spans="6:20" x14ac:dyDescent="0.25">
      <c r="L36" s="115"/>
      <c r="M36" s="115"/>
      <c r="N36" s="115"/>
      <c r="O36" s="115"/>
      <c r="P36" s="115"/>
      <c r="Q36" s="115"/>
      <c r="R36" s="115"/>
      <c r="S36" s="115"/>
      <c r="T36" s="115"/>
    </row>
    <row r="37" spans="6:20" x14ac:dyDescent="0.25">
      <c r="L37" s="115"/>
      <c r="M37" s="115"/>
      <c r="N37" s="115"/>
      <c r="O37" s="115"/>
      <c r="P37" s="115"/>
      <c r="Q37" s="115"/>
      <c r="R37" s="115"/>
      <c r="S37" s="115"/>
      <c r="T37" s="115"/>
    </row>
    <row r="38" spans="6:20" x14ac:dyDescent="0.25">
      <c r="L38" s="115"/>
      <c r="M38" s="115"/>
      <c r="N38" s="115"/>
      <c r="O38" s="115"/>
      <c r="P38" s="115"/>
      <c r="Q38" s="115"/>
      <c r="R38" s="115"/>
      <c r="S38" s="115"/>
      <c r="T38" s="115"/>
    </row>
    <row r="39" spans="6:20" x14ac:dyDescent="0.25">
      <c r="L39" s="115"/>
      <c r="M39" s="115"/>
      <c r="N39" s="115"/>
      <c r="O39" s="115"/>
      <c r="P39" s="115"/>
      <c r="Q39" s="115"/>
      <c r="R39" s="115"/>
      <c r="S39" s="115"/>
      <c r="T39" s="115"/>
    </row>
    <row r="40" spans="6:20" x14ac:dyDescent="0.25">
      <c r="L40" s="115"/>
      <c r="M40" s="115"/>
      <c r="N40" s="115"/>
      <c r="O40" s="115"/>
      <c r="P40" s="115"/>
      <c r="Q40" s="115"/>
      <c r="R40" s="115"/>
      <c r="S40" s="115"/>
      <c r="T40" s="115"/>
    </row>
    <row r="41" spans="6:20" x14ac:dyDescent="0.25">
      <c r="L41" s="115"/>
      <c r="M41" s="115"/>
      <c r="N41" s="115"/>
      <c r="O41" s="115"/>
      <c r="P41" s="115"/>
      <c r="Q41" s="115"/>
      <c r="R41" s="115"/>
      <c r="S41" s="115"/>
      <c r="T41" s="115"/>
    </row>
    <row r="42" spans="6:20" x14ac:dyDescent="0.25">
      <c r="L42" s="115"/>
      <c r="M42" s="115"/>
      <c r="N42" s="115"/>
      <c r="O42" s="115"/>
      <c r="P42" s="115"/>
      <c r="Q42" s="115"/>
      <c r="R42" s="115"/>
      <c r="S42" s="115"/>
      <c r="T42" s="115"/>
    </row>
    <row r="43" spans="6:20" x14ac:dyDescent="0.25">
      <c r="L43" s="115"/>
      <c r="M43" s="115"/>
      <c r="N43" s="115"/>
      <c r="O43" s="115"/>
      <c r="P43" s="115"/>
      <c r="Q43" s="115"/>
      <c r="R43" s="115"/>
      <c r="S43" s="115"/>
      <c r="T43" s="115"/>
    </row>
    <row r="44" spans="6:20" x14ac:dyDescent="0.25">
      <c r="L44" s="115"/>
      <c r="M44" s="115"/>
      <c r="N44" s="115"/>
      <c r="O44" s="115"/>
      <c r="P44" s="115"/>
      <c r="Q44" s="115"/>
      <c r="R44" s="115"/>
      <c r="S44" s="115"/>
      <c r="T44" s="115"/>
    </row>
    <row r="45" spans="6:20" x14ac:dyDescent="0.25">
      <c r="L45" s="115"/>
      <c r="M45" s="115"/>
      <c r="N45" s="115"/>
      <c r="O45" s="115"/>
      <c r="P45" s="115"/>
      <c r="Q45" s="115"/>
      <c r="R45" s="115"/>
      <c r="S45" s="115"/>
      <c r="T45" s="115"/>
    </row>
    <row r="46" spans="6:20" x14ac:dyDescent="0.25">
      <c r="F46" s="25"/>
      <c r="L46" s="115"/>
      <c r="M46" s="115"/>
      <c r="N46" s="115"/>
      <c r="O46" s="115"/>
      <c r="P46" s="115"/>
      <c r="Q46" s="115"/>
      <c r="R46" s="115"/>
      <c r="S46" s="115"/>
      <c r="T46" s="115"/>
    </row>
    <row r="47" spans="6:20" x14ac:dyDescent="0.25">
      <c r="L47" s="115"/>
      <c r="M47" s="115"/>
      <c r="N47" s="115"/>
      <c r="O47" s="115"/>
      <c r="P47" s="115"/>
      <c r="Q47" s="115"/>
      <c r="R47" s="115"/>
      <c r="S47" s="115"/>
      <c r="T47" s="115"/>
    </row>
    <row r="48" spans="6:20" x14ac:dyDescent="0.25">
      <c r="L48" s="115"/>
      <c r="M48" s="115"/>
      <c r="N48" s="115"/>
      <c r="O48" s="115"/>
      <c r="P48" s="115"/>
      <c r="Q48" s="115"/>
      <c r="R48" s="115"/>
      <c r="S48" s="115"/>
      <c r="T48" s="115"/>
    </row>
    <row r="49" spans="12:20" x14ac:dyDescent="0.25">
      <c r="L49" s="115"/>
      <c r="M49" s="115"/>
      <c r="N49" s="115"/>
      <c r="O49" s="115"/>
      <c r="P49" s="115"/>
      <c r="Q49" s="115"/>
      <c r="R49" s="115"/>
      <c r="S49" s="115"/>
      <c r="T49" s="115"/>
    </row>
    <row r="50" spans="12:20" x14ac:dyDescent="0.25">
      <c r="L50" s="115"/>
      <c r="M50" s="115"/>
      <c r="N50" s="115"/>
      <c r="O50" s="115"/>
      <c r="P50" s="115"/>
      <c r="Q50" s="115"/>
      <c r="R50" s="115"/>
      <c r="S50" s="115"/>
      <c r="T50" s="115"/>
    </row>
    <row r="51" spans="12:20" x14ac:dyDescent="0.25">
      <c r="L51" s="115"/>
      <c r="M51" s="115"/>
      <c r="N51" s="115"/>
      <c r="O51" s="115"/>
      <c r="P51" s="115"/>
      <c r="Q51" s="115"/>
      <c r="R51" s="115"/>
      <c r="S51" s="115"/>
      <c r="T51" s="115"/>
    </row>
    <row r="52" spans="12:20" x14ac:dyDescent="0.25">
      <c r="L52" s="115"/>
      <c r="M52" s="115"/>
      <c r="N52" s="115"/>
      <c r="O52" s="115"/>
      <c r="P52" s="115"/>
      <c r="Q52" s="115"/>
      <c r="R52" s="115"/>
      <c r="S52" s="115"/>
      <c r="T52" s="115"/>
    </row>
    <row r="53" spans="12:20" x14ac:dyDescent="0.25">
      <c r="L53" s="115"/>
      <c r="M53" s="115"/>
      <c r="N53" s="115"/>
      <c r="O53" s="115"/>
      <c r="P53" s="115"/>
      <c r="Q53" s="115"/>
      <c r="R53" s="115"/>
      <c r="S53" s="115"/>
      <c r="T53" s="115"/>
    </row>
    <row r="54" spans="12:20" x14ac:dyDescent="0.25">
      <c r="L54" s="115"/>
      <c r="M54" s="115"/>
      <c r="N54" s="115"/>
      <c r="O54" s="115"/>
      <c r="P54" s="115"/>
      <c r="Q54" s="115"/>
      <c r="R54" s="115"/>
      <c r="S54" s="115"/>
      <c r="T54" s="115"/>
    </row>
    <row r="55" spans="12:20" x14ac:dyDescent="0.25">
      <c r="L55" s="115"/>
      <c r="M55" s="115"/>
      <c r="N55" s="115"/>
      <c r="O55" s="115"/>
      <c r="P55" s="115"/>
      <c r="Q55" s="115"/>
      <c r="R55" s="115"/>
      <c r="S55" s="115"/>
      <c r="T55" s="115"/>
    </row>
    <row r="56" spans="12:20" x14ac:dyDescent="0.25">
      <c r="L56" s="115"/>
      <c r="M56" s="115"/>
      <c r="N56" s="115"/>
      <c r="O56" s="115"/>
      <c r="P56" s="115"/>
      <c r="Q56" s="115"/>
      <c r="R56" s="115"/>
      <c r="S56" s="115"/>
      <c r="T56" s="115"/>
    </row>
    <row r="57" spans="12:20" x14ac:dyDescent="0.25">
      <c r="L57" s="115"/>
      <c r="M57" s="115"/>
      <c r="N57" s="115"/>
      <c r="O57" s="115"/>
      <c r="P57" s="115"/>
      <c r="Q57" s="115"/>
      <c r="R57" s="115"/>
      <c r="S57" s="115"/>
      <c r="T57" s="115"/>
    </row>
    <row r="58" spans="12:20" x14ac:dyDescent="0.25">
      <c r="L58" s="115"/>
      <c r="M58" s="115"/>
      <c r="N58" s="115"/>
      <c r="O58" s="115"/>
      <c r="P58" s="115"/>
      <c r="Q58" s="115"/>
      <c r="R58" s="115"/>
      <c r="S58" s="115"/>
      <c r="T58" s="115"/>
    </row>
    <row r="59" spans="12:20" x14ac:dyDescent="0.25">
      <c r="L59" s="115"/>
      <c r="M59" s="115"/>
      <c r="N59" s="115"/>
      <c r="O59" s="115"/>
      <c r="P59" s="115"/>
      <c r="Q59" s="115"/>
      <c r="R59" s="115"/>
      <c r="S59" s="115"/>
      <c r="T59" s="115"/>
    </row>
    <row r="60" spans="12:20" x14ac:dyDescent="0.25">
      <c r="L60" s="115"/>
      <c r="M60" s="115"/>
      <c r="N60" s="115"/>
      <c r="O60" s="115"/>
      <c r="P60" s="115"/>
      <c r="Q60" s="115"/>
      <c r="R60" s="115"/>
      <c r="S60" s="115"/>
      <c r="T60" s="115"/>
    </row>
    <row r="61" spans="12:20" x14ac:dyDescent="0.25">
      <c r="L61" s="115"/>
      <c r="M61" s="115"/>
      <c r="N61" s="115"/>
      <c r="O61" s="115"/>
      <c r="P61" s="115"/>
      <c r="Q61" s="115"/>
      <c r="R61" s="115"/>
      <c r="S61" s="115"/>
      <c r="T61" s="115"/>
    </row>
    <row r="62" spans="12:20" x14ac:dyDescent="0.25">
      <c r="L62" s="115"/>
      <c r="M62" s="115"/>
      <c r="N62" s="115"/>
      <c r="O62" s="115"/>
      <c r="P62" s="115"/>
      <c r="Q62" s="115"/>
      <c r="R62" s="115"/>
      <c r="S62" s="115"/>
      <c r="T62" s="115"/>
    </row>
    <row r="63" spans="12:20" x14ac:dyDescent="0.25">
      <c r="L63" s="115"/>
      <c r="M63" s="115"/>
      <c r="N63" s="115"/>
      <c r="O63" s="115"/>
      <c r="P63" s="115"/>
      <c r="Q63" s="115"/>
      <c r="R63" s="115"/>
      <c r="S63" s="115"/>
      <c r="T63" s="115"/>
    </row>
    <row r="64" spans="12:20" x14ac:dyDescent="0.25">
      <c r="L64" s="115"/>
      <c r="M64" s="115"/>
      <c r="N64" s="115"/>
      <c r="O64" s="115"/>
      <c r="P64" s="115"/>
      <c r="Q64" s="115"/>
      <c r="R64" s="115"/>
      <c r="S64" s="115"/>
      <c r="T64" s="115"/>
    </row>
    <row r="65" spans="12:20" x14ac:dyDescent="0.25">
      <c r="L65" s="115"/>
      <c r="M65" s="115"/>
      <c r="N65" s="115"/>
      <c r="O65" s="115"/>
      <c r="P65" s="115"/>
      <c r="Q65" s="115"/>
      <c r="R65" s="115"/>
      <c r="S65" s="115"/>
      <c r="T65" s="115"/>
    </row>
    <row r="66" spans="12:20" x14ac:dyDescent="0.25">
      <c r="L66" s="115"/>
      <c r="M66" s="115"/>
      <c r="N66" s="115"/>
      <c r="O66" s="115"/>
      <c r="P66" s="115"/>
      <c r="Q66" s="115"/>
      <c r="R66" s="115"/>
      <c r="S66" s="115"/>
      <c r="T66" s="115"/>
    </row>
    <row r="67" spans="12:20" x14ac:dyDescent="0.25">
      <c r="L67" s="115"/>
      <c r="M67" s="115"/>
      <c r="N67" s="115"/>
      <c r="O67" s="115"/>
      <c r="P67" s="115"/>
      <c r="Q67" s="115"/>
      <c r="R67" s="115"/>
      <c r="S67" s="115"/>
      <c r="T67" s="115"/>
    </row>
    <row r="68" spans="12:20" x14ac:dyDescent="0.25">
      <c r="L68" s="115"/>
      <c r="M68" s="115"/>
      <c r="N68" s="115"/>
      <c r="O68" s="115"/>
      <c r="P68" s="115"/>
      <c r="Q68" s="115"/>
      <c r="R68" s="115"/>
      <c r="S68" s="115"/>
      <c r="T68" s="115"/>
    </row>
    <row r="69" spans="12:20" x14ac:dyDescent="0.25">
      <c r="L69" s="115"/>
      <c r="M69" s="115"/>
      <c r="N69" s="115"/>
      <c r="O69" s="115"/>
      <c r="P69" s="115"/>
      <c r="Q69" s="115"/>
      <c r="R69" s="115"/>
      <c r="S69" s="115"/>
      <c r="T69" s="115"/>
    </row>
    <row r="70" spans="12:20" x14ac:dyDescent="0.25">
      <c r="L70" s="115"/>
      <c r="M70" s="115"/>
      <c r="N70" s="115"/>
      <c r="O70" s="115"/>
      <c r="P70" s="115"/>
      <c r="Q70" s="115"/>
      <c r="R70" s="115"/>
      <c r="S70" s="115"/>
      <c r="T70" s="115"/>
    </row>
    <row r="71" spans="12:20" x14ac:dyDescent="0.25">
      <c r="L71" s="115"/>
      <c r="M71" s="115"/>
      <c r="N71" s="115"/>
      <c r="O71" s="115"/>
      <c r="P71" s="115"/>
      <c r="Q71" s="115"/>
      <c r="R71" s="115"/>
      <c r="S71" s="115"/>
      <c r="T71" s="115"/>
    </row>
    <row r="72" spans="12:20" x14ac:dyDescent="0.25">
      <c r="L72" s="115"/>
      <c r="M72" s="115"/>
      <c r="N72" s="115"/>
      <c r="O72" s="115"/>
      <c r="P72" s="115"/>
      <c r="Q72" s="115"/>
      <c r="R72" s="115"/>
      <c r="S72" s="115"/>
      <c r="T72" s="115"/>
    </row>
    <row r="73" spans="12:20" x14ac:dyDescent="0.25">
      <c r="L73" s="115"/>
      <c r="M73" s="115"/>
      <c r="N73" s="115"/>
      <c r="O73" s="115"/>
      <c r="P73" s="115"/>
      <c r="Q73" s="115"/>
      <c r="R73" s="115"/>
      <c r="S73" s="115"/>
      <c r="T73" s="115"/>
    </row>
    <row r="74" spans="12:20" x14ac:dyDescent="0.25">
      <c r="L74" s="115"/>
      <c r="M74" s="115"/>
      <c r="N74" s="115"/>
      <c r="O74" s="115"/>
      <c r="P74" s="115"/>
      <c r="Q74" s="115"/>
      <c r="R74" s="115"/>
      <c r="S74" s="115"/>
      <c r="T74" s="115"/>
    </row>
    <row r="75" spans="12:20" x14ac:dyDescent="0.25">
      <c r="L75" s="115"/>
      <c r="M75" s="115"/>
      <c r="N75" s="115"/>
      <c r="O75" s="115"/>
      <c r="P75" s="115"/>
      <c r="Q75" s="115"/>
      <c r="R75" s="115"/>
      <c r="S75" s="115"/>
      <c r="T75" s="115"/>
    </row>
    <row r="76" spans="12:20" x14ac:dyDescent="0.25">
      <c r="L76" s="115"/>
      <c r="M76" s="115"/>
      <c r="N76" s="115"/>
      <c r="O76" s="115"/>
      <c r="P76" s="115"/>
      <c r="Q76" s="115"/>
      <c r="R76" s="115"/>
      <c r="S76" s="115"/>
      <c r="T76" s="115"/>
    </row>
    <row r="77" spans="12:20" x14ac:dyDescent="0.25">
      <c r="L77" s="115"/>
      <c r="M77" s="115"/>
      <c r="N77" s="115"/>
      <c r="O77" s="115"/>
      <c r="P77" s="115"/>
      <c r="Q77" s="115"/>
      <c r="R77" s="115"/>
      <c r="S77" s="115"/>
      <c r="T77" s="115"/>
    </row>
    <row r="78" spans="12:20" x14ac:dyDescent="0.25">
      <c r="L78" s="115"/>
      <c r="M78" s="115"/>
      <c r="N78" s="115"/>
      <c r="O78" s="115"/>
      <c r="P78" s="115"/>
      <c r="Q78" s="115"/>
      <c r="R78" s="115"/>
      <c r="S78" s="115"/>
      <c r="T78" s="115"/>
    </row>
  </sheetData>
  <mergeCells count="1">
    <mergeCell ref="A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F79C-D42D-48F4-B9F5-A907137F8414}">
  <dimension ref="B1:L62"/>
  <sheetViews>
    <sheetView zoomScale="90" workbookViewId="0">
      <selection activeCell="B1" sqref="B1"/>
    </sheetView>
  </sheetViews>
  <sheetFormatPr defaultRowHeight="15" x14ac:dyDescent="0.25"/>
  <cols>
    <col min="1" max="1" width="8.85546875" customWidth="1"/>
    <col min="3" max="3" width="12.5703125" customWidth="1"/>
    <col min="4" max="4" width="20.7109375" customWidth="1"/>
    <col min="5" max="5" width="23.42578125" customWidth="1"/>
    <col min="7" max="7" width="30.7109375" customWidth="1"/>
  </cols>
  <sheetData>
    <row r="1" spans="2:12" x14ac:dyDescent="0.25">
      <c r="B1" s="121" t="s">
        <v>247</v>
      </c>
    </row>
    <row r="2" spans="2:12" x14ac:dyDescent="0.25">
      <c r="G2" s="114"/>
      <c r="H2" s="114"/>
      <c r="I2" s="114"/>
      <c r="J2" s="114"/>
      <c r="K2" s="114"/>
      <c r="L2" s="114"/>
    </row>
    <row r="3" spans="2:12" x14ac:dyDescent="0.25">
      <c r="G3" s="126"/>
      <c r="H3" s="120"/>
      <c r="I3" s="120"/>
      <c r="J3" s="120"/>
      <c r="K3" s="120"/>
      <c r="L3" s="83"/>
    </row>
    <row r="4" spans="2:12" x14ac:dyDescent="0.25">
      <c r="B4" s="135" t="s">
        <v>239</v>
      </c>
      <c r="C4" s="136" t="s">
        <v>240</v>
      </c>
      <c r="D4" s="136" t="s">
        <v>245</v>
      </c>
      <c r="E4" s="137" t="s">
        <v>246</v>
      </c>
      <c r="G4" s="126"/>
      <c r="H4" s="120"/>
      <c r="I4" s="120"/>
      <c r="J4" s="120"/>
      <c r="K4" s="120"/>
      <c r="L4" s="83"/>
    </row>
    <row r="5" spans="2:12" x14ac:dyDescent="0.25">
      <c r="B5" s="10">
        <v>0.34483330000000001</v>
      </c>
      <c r="C5" s="112">
        <v>0.13220000000000001</v>
      </c>
      <c r="D5" s="112">
        <v>0.58720000000000006</v>
      </c>
      <c r="E5" s="47">
        <v>0.21783330000000001</v>
      </c>
      <c r="G5" s="126"/>
      <c r="H5" s="120"/>
      <c r="I5" s="120"/>
      <c r="J5" s="120"/>
      <c r="K5" s="120"/>
      <c r="L5" s="83"/>
    </row>
    <row r="6" spans="2:12" x14ac:dyDescent="0.25">
      <c r="B6" s="10">
        <v>0.56120000000000003</v>
      </c>
      <c r="C6" s="4">
        <v>0.13220000000000001</v>
      </c>
      <c r="D6" s="4">
        <v>0.69183329999999998</v>
      </c>
      <c r="E6" s="47">
        <v>0.2708333</v>
      </c>
      <c r="G6" s="126"/>
      <c r="H6" s="120"/>
      <c r="I6" s="120"/>
      <c r="J6" s="120"/>
      <c r="K6" s="120"/>
      <c r="L6" s="83"/>
    </row>
    <row r="7" spans="2:12" x14ac:dyDescent="0.25">
      <c r="B7" s="10">
        <v>0.4012</v>
      </c>
      <c r="C7" s="4">
        <v>0.22183330000000001</v>
      </c>
      <c r="D7" s="4">
        <v>0.43183329999999998</v>
      </c>
      <c r="E7" s="47">
        <v>0.36883329999999998</v>
      </c>
      <c r="G7" s="126"/>
      <c r="H7" s="120"/>
      <c r="I7" s="120"/>
      <c r="J7" s="120"/>
      <c r="K7" s="120"/>
      <c r="L7" s="83"/>
    </row>
    <row r="8" spans="2:12" x14ac:dyDescent="0.25">
      <c r="B8" s="10">
        <v>9.1200000000000003E-2</v>
      </c>
      <c r="C8" s="4">
        <v>0.16719999999999999</v>
      </c>
      <c r="D8" s="4">
        <v>0.1522</v>
      </c>
      <c r="E8" s="47">
        <v>0.3318333</v>
      </c>
      <c r="G8" s="126"/>
      <c r="H8" s="120"/>
      <c r="I8" s="120"/>
      <c r="J8" s="120"/>
      <c r="K8" s="120"/>
      <c r="L8" s="83"/>
    </row>
    <row r="9" spans="2:12" x14ac:dyDescent="0.25">
      <c r="B9" s="10">
        <v>0.31719999999999998</v>
      </c>
      <c r="C9" s="4">
        <v>0.13220000000000001</v>
      </c>
      <c r="D9" s="4">
        <v>0.37383329999999998</v>
      </c>
      <c r="E9" s="47">
        <v>0.3988333</v>
      </c>
      <c r="G9" s="126"/>
      <c r="H9" s="120"/>
      <c r="I9" s="120"/>
      <c r="J9" s="120"/>
      <c r="K9" s="120"/>
      <c r="L9" s="83"/>
    </row>
    <row r="10" spans="2:12" x14ac:dyDescent="0.25">
      <c r="B10" s="10">
        <v>0.2172</v>
      </c>
      <c r="C10" s="4">
        <v>0.29883330000000002</v>
      </c>
      <c r="D10" s="4">
        <v>0.43283329999999998</v>
      </c>
      <c r="E10" s="47">
        <v>0.36883329999999998</v>
      </c>
      <c r="G10" s="126"/>
      <c r="H10" s="120"/>
      <c r="I10" s="120"/>
      <c r="J10" s="120"/>
      <c r="K10" s="120"/>
      <c r="L10" s="83"/>
    </row>
    <row r="11" spans="2:12" x14ac:dyDescent="0.25">
      <c r="B11" s="10">
        <v>0.2388333</v>
      </c>
      <c r="C11" s="4">
        <v>6.8833329999999998E-2</v>
      </c>
      <c r="D11" s="4">
        <v>0.43583329999999998</v>
      </c>
      <c r="E11" s="47">
        <v>0.3988333</v>
      </c>
      <c r="G11" s="126"/>
      <c r="H11" s="120"/>
      <c r="I11" s="120"/>
      <c r="J11" s="120"/>
      <c r="K11" s="120"/>
      <c r="L11" s="83"/>
    </row>
    <row r="12" spans="2:12" x14ac:dyDescent="0.25">
      <c r="B12" s="10">
        <v>0.63819999999999999</v>
      </c>
      <c r="C12" s="4">
        <v>0.21883330000000001</v>
      </c>
      <c r="D12" s="4">
        <v>0.37383329999999998</v>
      </c>
      <c r="E12" s="47">
        <v>0.2048333</v>
      </c>
      <c r="G12" s="126"/>
      <c r="H12" s="120"/>
      <c r="I12" s="120"/>
      <c r="J12" s="120"/>
      <c r="K12" s="120"/>
      <c r="L12" s="83"/>
    </row>
    <row r="13" spans="2:12" x14ac:dyDescent="0.25">
      <c r="B13" s="10">
        <v>0.1018333</v>
      </c>
      <c r="C13" s="4">
        <v>0.1182</v>
      </c>
      <c r="D13" s="4">
        <v>0.29983330000000002</v>
      </c>
      <c r="E13" s="47">
        <v>0.36683329999999997</v>
      </c>
      <c r="G13" s="126"/>
      <c r="H13" s="120"/>
      <c r="I13" s="120"/>
      <c r="J13" s="120"/>
      <c r="K13" s="120"/>
      <c r="L13" s="83"/>
    </row>
    <row r="14" spans="2:12" x14ac:dyDescent="0.25">
      <c r="B14" s="10">
        <v>0.34483330000000001</v>
      </c>
      <c r="C14" s="4">
        <v>0.1182</v>
      </c>
      <c r="D14" s="4">
        <v>0.58720000000000006</v>
      </c>
      <c r="E14" s="47">
        <v>0.53220000000000001</v>
      </c>
      <c r="G14" s="126"/>
      <c r="H14" s="120"/>
      <c r="I14" s="120"/>
      <c r="J14" s="120"/>
      <c r="K14" s="120"/>
      <c r="L14" s="83"/>
    </row>
    <row r="15" spans="2:12" x14ac:dyDescent="0.25">
      <c r="B15" s="10">
        <v>0.61183330000000002</v>
      </c>
      <c r="C15" s="4">
        <v>0.3392</v>
      </c>
      <c r="D15" s="4">
        <v>0.69183329999999998</v>
      </c>
      <c r="E15" s="47">
        <v>0.36683329999999997</v>
      </c>
      <c r="G15" s="126"/>
      <c r="H15" s="120"/>
      <c r="I15" s="120"/>
      <c r="J15" s="120"/>
      <c r="K15" s="120"/>
      <c r="L15" s="83"/>
    </row>
    <row r="16" spans="2:12" x14ac:dyDescent="0.25">
      <c r="B16" s="10">
        <v>0.2108333</v>
      </c>
      <c r="C16" s="4">
        <v>-1.1666700000000001E-3</v>
      </c>
      <c r="D16" s="4">
        <v>0.43583329999999998</v>
      </c>
      <c r="E16" s="47">
        <v>0.16919999999999999</v>
      </c>
      <c r="G16" s="126"/>
      <c r="H16" s="120"/>
      <c r="I16" s="120"/>
      <c r="J16" s="120"/>
      <c r="K16" s="120"/>
      <c r="L16" s="83"/>
    </row>
    <row r="17" spans="2:12" x14ac:dyDescent="0.25">
      <c r="B17" s="10">
        <v>0.1458333</v>
      </c>
      <c r="C17" s="4">
        <v>0.26583329999999999</v>
      </c>
      <c r="D17" s="4">
        <v>0.40483330000000001</v>
      </c>
      <c r="E17" s="47">
        <v>1.329833</v>
      </c>
      <c r="G17" s="126"/>
      <c r="H17" s="120"/>
      <c r="I17" s="120"/>
      <c r="J17" s="120"/>
      <c r="K17" s="120"/>
      <c r="L17" s="83"/>
    </row>
    <row r="18" spans="2:12" x14ac:dyDescent="0.25">
      <c r="B18" s="10">
        <v>0.1158333</v>
      </c>
      <c r="C18" s="4">
        <v>0.3392</v>
      </c>
      <c r="D18" s="4">
        <v>1.9832000000000001</v>
      </c>
      <c r="E18" s="47">
        <v>0.53220000000000001</v>
      </c>
      <c r="G18" s="126"/>
      <c r="H18" s="120"/>
      <c r="I18" s="120"/>
      <c r="J18" s="120"/>
      <c r="K18" s="120"/>
      <c r="L18" s="83"/>
    </row>
    <row r="19" spans="2:12" x14ac:dyDescent="0.25">
      <c r="B19" s="10">
        <v>8.3332999999999996E-4</v>
      </c>
      <c r="C19" s="4">
        <v>0.36919999999999997</v>
      </c>
      <c r="D19" s="4">
        <v>0.43283329999999998</v>
      </c>
      <c r="E19" s="47">
        <v>0.22120000000000001</v>
      </c>
      <c r="G19" s="126"/>
      <c r="H19" s="120"/>
      <c r="I19" s="120"/>
      <c r="J19" s="120"/>
      <c r="K19" s="120"/>
      <c r="L19" s="83"/>
    </row>
    <row r="20" spans="2:12" x14ac:dyDescent="0.25">
      <c r="B20" s="10">
        <v>0.2388333</v>
      </c>
      <c r="C20" s="4">
        <v>8.8833330000000002E-2</v>
      </c>
      <c r="D20" s="4">
        <v>1.9832000000000001</v>
      </c>
      <c r="E20" s="47">
        <v>0.2708333</v>
      </c>
      <c r="G20" s="126"/>
      <c r="H20" s="120"/>
      <c r="I20" s="120"/>
      <c r="J20" s="120"/>
      <c r="K20" s="120"/>
      <c r="L20" s="83"/>
    </row>
    <row r="21" spans="2:12" x14ac:dyDescent="0.25">
      <c r="B21" s="10">
        <v>0.4012</v>
      </c>
      <c r="C21" s="4">
        <v>0.19719999999999999</v>
      </c>
      <c r="D21" s="4">
        <v>0.1452</v>
      </c>
      <c r="E21" s="47">
        <v>0.53220000000000001</v>
      </c>
      <c r="G21" s="126"/>
      <c r="H21" s="120"/>
      <c r="I21" s="120"/>
      <c r="J21" s="120"/>
      <c r="K21" s="120"/>
      <c r="L21" s="83"/>
    </row>
    <row r="22" spans="2:12" x14ac:dyDescent="0.25">
      <c r="B22" s="10">
        <v>0.2108333</v>
      </c>
      <c r="C22" s="4">
        <v>0.29883330000000002</v>
      </c>
      <c r="D22" s="4">
        <v>1.5671999999999999</v>
      </c>
      <c r="E22" s="47">
        <v>0.2048333</v>
      </c>
      <c r="G22" s="126"/>
      <c r="H22" s="120"/>
      <c r="I22" s="120"/>
      <c r="J22" s="120"/>
      <c r="K22" s="120"/>
      <c r="L22" s="83"/>
    </row>
    <row r="23" spans="2:12" x14ac:dyDescent="0.25">
      <c r="B23" s="10">
        <v>0.63819999999999999</v>
      </c>
      <c r="C23" s="4">
        <v>0.1182</v>
      </c>
      <c r="D23" s="4">
        <v>0.3918333</v>
      </c>
      <c r="E23" s="47">
        <v>0.1842</v>
      </c>
      <c r="G23" s="126"/>
      <c r="H23" s="120"/>
      <c r="I23" s="120"/>
      <c r="J23" s="120"/>
      <c r="K23" s="120"/>
      <c r="L23" s="83"/>
    </row>
    <row r="24" spans="2:12" x14ac:dyDescent="0.25">
      <c r="B24" s="29">
        <v>0.34283330000000001</v>
      </c>
      <c r="C24" s="30">
        <v>0.1182</v>
      </c>
      <c r="D24" s="30">
        <v>0.35720000000000002</v>
      </c>
      <c r="E24" s="54">
        <v>0.25183329999999998</v>
      </c>
      <c r="G24" s="126"/>
      <c r="H24" s="120"/>
      <c r="I24" s="120"/>
      <c r="J24" s="120"/>
      <c r="K24" s="120"/>
      <c r="L24" s="83"/>
    </row>
    <row r="25" spans="2:12" x14ac:dyDescent="0.25">
      <c r="G25" s="114"/>
      <c r="H25" s="114"/>
      <c r="I25" s="114"/>
      <c r="J25" s="114"/>
      <c r="K25" s="114"/>
      <c r="L25" s="114"/>
    </row>
    <row r="26" spans="2:12" x14ac:dyDescent="0.25">
      <c r="G26" s="126"/>
      <c r="H26" s="120"/>
      <c r="I26" s="83"/>
      <c r="J26" s="83"/>
      <c r="K26" s="83"/>
      <c r="L26" s="83"/>
    </row>
    <row r="27" spans="2:12" x14ac:dyDescent="0.25">
      <c r="G27" s="126"/>
      <c r="H27" s="120"/>
      <c r="I27" s="83"/>
      <c r="J27" s="83"/>
      <c r="K27" s="83"/>
      <c r="L27" s="83"/>
    </row>
    <row r="28" spans="2:12" x14ac:dyDescent="0.25">
      <c r="G28" s="126"/>
      <c r="H28" s="120"/>
      <c r="I28" s="83"/>
      <c r="J28" s="83"/>
      <c r="K28" s="83"/>
      <c r="L28" s="83"/>
    </row>
    <row r="29" spans="2:12" x14ac:dyDescent="0.25">
      <c r="G29" s="126"/>
      <c r="H29" s="120"/>
      <c r="I29" s="83"/>
      <c r="J29" s="83"/>
      <c r="K29" s="83"/>
      <c r="L29" s="83"/>
    </row>
    <row r="30" spans="2:12" x14ac:dyDescent="0.25">
      <c r="G30" s="126"/>
      <c r="H30" s="120"/>
      <c r="I30" s="83"/>
      <c r="J30" s="83"/>
      <c r="K30" s="83"/>
      <c r="L30" s="83"/>
    </row>
    <row r="31" spans="2:12" x14ac:dyDescent="0.25">
      <c r="G31" s="126"/>
      <c r="H31" s="120"/>
      <c r="I31" s="83"/>
      <c r="J31" s="83"/>
      <c r="K31" s="83"/>
      <c r="L31" s="83"/>
    </row>
    <row r="32" spans="2:12" x14ac:dyDescent="0.25">
      <c r="G32" s="126"/>
      <c r="H32" s="120"/>
      <c r="I32" s="83"/>
      <c r="J32" s="83"/>
      <c r="K32" s="83"/>
      <c r="L32" s="83"/>
    </row>
    <row r="33" spans="7:12" x14ac:dyDescent="0.25">
      <c r="G33" s="126"/>
      <c r="H33" s="120"/>
      <c r="I33" s="83"/>
      <c r="J33" s="83"/>
      <c r="K33" s="83"/>
      <c r="L33" s="83"/>
    </row>
    <row r="34" spans="7:12" x14ac:dyDescent="0.25">
      <c r="G34" s="126"/>
      <c r="H34" s="120"/>
      <c r="I34" s="83"/>
      <c r="J34" s="83"/>
      <c r="K34" s="83"/>
      <c r="L34" s="83"/>
    </row>
    <row r="35" spans="7:12" x14ac:dyDescent="0.25">
      <c r="G35" s="126"/>
      <c r="H35" s="120"/>
      <c r="I35" s="83"/>
      <c r="J35" s="83"/>
      <c r="K35" s="83"/>
      <c r="L35" s="83"/>
    </row>
    <row r="36" spans="7:12" x14ac:dyDescent="0.25">
      <c r="G36" s="126"/>
      <c r="H36" s="120"/>
      <c r="I36" s="83"/>
      <c r="J36" s="83"/>
      <c r="K36" s="83"/>
      <c r="L36" s="83"/>
    </row>
    <row r="37" spans="7:12" x14ac:dyDescent="0.25">
      <c r="G37" s="126"/>
      <c r="H37" s="120"/>
      <c r="I37" s="83"/>
      <c r="J37" s="83"/>
      <c r="K37" s="83"/>
      <c r="L37" s="83"/>
    </row>
    <row r="38" spans="7:12" x14ac:dyDescent="0.25">
      <c r="G38" s="126"/>
      <c r="H38" s="120"/>
      <c r="I38" s="83"/>
      <c r="J38" s="83"/>
      <c r="K38" s="83"/>
      <c r="L38" s="83"/>
    </row>
    <row r="39" spans="7:12" x14ac:dyDescent="0.25">
      <c r="G39" s="83"/>
      <c r="H39" s="83"/>
      <c r="I39" s="83"/>
      <c r="J39" s="83"/>
      <c r="K39" s="83"/>
      <c r="L39" s="83"/>
    </row>
    <row r="40" spans="7:12" x14ac:dyDescent="0.25">
      <c r="G40" s="126"/>
      <c r="H40" s="120"/>
      <c r="I40" s="120"/>
      <c r="J40" s="120"/>
      <c r="K40" s="120"/>
      <c r="L40" s="120"/>
    </row>
    <row r="41" spans="7:12" x14ac:dyDescent="0.25">
      <c r="G41" s="126"/>
      <c r="H41" s="120"/>
      <c r="I41" s="120"/>
      <c r="J41" s="120"/>
      <c r="K41" s="120"/>
      <c r="L41" s="120"/>
    </row>
    <row r="42" spans="7:12" x14ac:dyDescent="0.25">
      <c r="G42" s="126"/>
      <c r="H42" s="120"/>
      <c r="I42" s="120"/>
      <c r="J42" s="120"/>
      <c r="K42" s="120"/>
      <c r="L42" s="120"/>
    </row>
    <row r="43" spans="7:12" x14ac:dyDescent="0.25">
      <c r="G43" s="126"/>
      <c r="H43" s="120"/>
      <c r="I43" s="120"/>
      <c r="J43" s="120"/>
      <c r="K43" s="120"/>
      <c r="L43" s="120"/>
    </row>
    <row r="44" spans="7:12" x14ac:dyDescent="0.25">
      <c r="G44" s="126"/>
      <c r="H44" s="120"/>
      <c r="I44" s="120"/>
      <c r="J44" s="120"/>
      <c r="K44" s="120"/>
      <c r="L44" s="120"/>
    </row>
    <row r="45" spans="7:12" x14ac:dyDescent="0.25">
      <c r="G45" s="126"/>
      <c r="H45" s="120"/>
      <c r="I45" s="120"/>
      <c r="J45" s="120"/>
      <c r="K45" s="120"/>
      <c r="L45" s="120"/>
    </row>
    <row r="46" spans="7:12" x14ac:dyDescent="0.25">
      <c r="G46" s="126"/>
      <c r="H46" s="113"/>
      <c r="I46" s="113"/>
      <c r="J46" s="113"/>
      <c r="K46" s="113"/>
      <c r="L46" s="120"/>
    </row>
    <row r="47" spans="7:12" x14ac:dyDescent="0.25">
      <c r="G47" s="126"/>
      <c r="H47" s="113"/>
      <c r="I47" s="113"/>
      <c r="J47" s="113"/>
      <c r="K47" s="113"/>
      <c r="L47" s="120"/>
    </row>
    <row r="48" spans="7:12" x14ac:dyDescent="0.25">
      <c r="G48" s="126"/>
      <c r="H48" s="113"/>
      <c r="I48" s="113"/>
      <c r="J48" s="113"/>
      <c r="K48" s="113"/>
      <c r="L48" s="120"/>
    </row>
    <row r="49" spans="7:12" x14ac:dyDescent="0.25">
      <c r="G49" s="126"/>
      <c r="H49" s="113"/>
      <c r="I49" s="113"/>
      <c r="J49" s="113"/>
      <c r="K49" s="113"/>
      <c r="L49" s="120"/>
    </row>
    <row r="50" spans="7:12" x14ac:dyDescent="0.25">
      <c r="G50" s="126"/>
      <c r="H50" s="113"/>
      <c r="I50" s="113"/>
      <c r="J50" s="113"/>
      <c r="K50" s="113"/>
      <c r="L50" s="120"/>
    </row>
    <row r="51" spans="7:12" x14ac:dyDescent="0.25">
      <c r="G51" s="126"/>
      <c r="H51" s="113"/>
      <c r="I51" s="113"/>
      <c r="J51" s="113"/>
      <c r="K51" s="113"/>
      <c r="L51" s="120"/>
    </row>
    <row r="52" spans="7:12" x14ac:dyDescent="0.25">
      <c r="G52" s="126"/>
      <c r="H52" s="120"/>
      <c r="I52" s="120"/>
      <c r="J52" s="120"/>
      <c r="K52" s="120"/>
      <c r="L52" s="120"/>
    </row>
    <row r="53" spans="7:12" x14ac:dyDescent="0.25">
      <c r="G53" s="126"/>
      <c r="H53" s="120"/>
      <c r="I53" s="120"/>
      <c r="J53" s="120"/>
      <c r="K53" s="120"/>
      <c r="L53" s="120"/>
    </row>
    <row r="54" spans="7:12" x14ac:dyDescent="0.25">
      <c r="G54" s="126"/>
      <c r="H54" s="120"/>
      <c r="I54" s="120"/>
      <c r="J54" s="120"/>
      <c r="K54" s="120"/>
      <c r="L54" s="120"/>
    </row>
    <row r="55" spans="7:12" x14ac:dyDescent="0.25">
      <c r="G55" s="126"/>
      <c r="H55" s="120"/>
      <c r="I55" s="120"/>
      <c r="J55" s="120"/>
      <c r="K55" s="120"/>
      <c r="L55" s="120"/>
    </row>
    <row r="56" spans="7:12" x14ac:dyDescent="0.25">
      <c r="G56" s="126"/>
      <c r="H56" s="120"/>
      <c r="I56" s="120"/>
      <c r="J56" s="120"/>
      <c r="K56" s="120"/>
      <c r="L56" s="120"/>
    </row>
    <row r="57" spans="7:12" x14ac:dyDescent="0.25">
      <c r="G57" s="126"/>
      <c r="H57" s="120"/>
      <c r="I57" s="120"/>
      <c r="J57" s="120"/>
      <c r="K57" s="120"/>
      <c r="L57" s="120"/>
    </row>
    <row r="58" spans="7:12" x14ac:dyDescent="0.25">
      <c r="G58" s="126"/>
      <c r="H58" s="120"/>
      <c r="I58" s="120"/>
      <c r="J58" s="120"/>
      <c r="K58" s="120"/>
      <c r="L58" s="120"/>
    </row>
    <row r="59" spans="7:12" x14ac:dyDescent="0.25">
      <c r="G59" s="126"/>
      <c r="H59" s="120"/>
      <c r="I59" s="120"/>
      <c r="J59" s="120"/>
      <c r="K59" s="120"/>
      <c r="L59" s="120"/>
    </row>
    <row r="60" spans="7:12" x14ac:dyDescent="0.25">
      <c r="G60" s="126"/>
      <c r="H60" s="120"/>
      <c r="I60" s="120"/>
      <c r="J60" s="120"/>
      <c r="K60" s="120"/>
      <c r="L60" s="120"/>
    </row>
    <row r="61" spans="7:12" x14ac:dyDescent="0.25">
      <c r="G61" s="126"/>
      <c r="H61" s="120"/>
      <c r="I61" s="120"/>
      <c r="J61" s="120"/>
      <c r="K61" s="120"/>
      <c r="L61" s="120"/>
    </row>
    <row r="62" spans="7:12" x14ac:dyDescent="0.25">
      <c r="G62" s="96"/>
      <c r="H62" s="96"/>
      <c r="I62" s="96"/>
      <c r="J62" s="96"/>
      <c r="K62" s="96"/>
      <c r="L62" s="9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4028-5090-476A-B55C-71DF2584E80B}">
  <dimension ref="B1:AD50"/>
  <sheetViews>
    <sheetView workbookViewId="0">
      <selection activeCell="H8" sqref="H8"/>
    </sheetView>
  </sheetViews>
  <sheetFormatPr defaultRowHeight="15" x14ac:dyDescent="0.25"/>
  <cols>
    <col min="3" max="3" width="23.5703125" customWidth="1"/>
    <col min="4" max="4" width="17.5703125" customWidth="1"/>
    <col min="5" max="5" width="2.140625" customWidth="1"/>
    <col min="7" max="7" width="18" customWidth="1"/>
    <col min="8" max="8" width="24.28515625" customWidth="1"/>
    <col min="9" max="9" width="16.85546875" customWidth="1"/>
    <col min="10" max="10" width="17" customWidth="1"/>
    <col min="13" max="13" width="29.42578125" customWidth="1"/>
    <col min="14" max="14" width="11.85546875" customWidth="1"/>
    <col min="16" max="16" width="26.140625" customWidth="1"/>
  </cols>
  <sheetData>
    <row r="1" spans="2:30" x14ac:dyDescent="0.25">
      <c r="B1" s="121" t="s">
        <v>248</v>
      </c>
      <c r="O1" s="96"/>
      <c r="P1" s="96"/>
      <c r="Q1" s="96"/>
      <c r="S1" s="115"/>
      <c r="T1" s="115"/>
      <c r="AB1" s="59" t="s">
        <v>0</v>
      </c>
      <c r="AC1" s="60"/>
      <c r="AD1" s="61"/>
    </row>
    <row r="2" spans="2:30" x14ac:dyDescent="0.25">
      <c r="B2" s="8"/>
      <c r="C2" s="285" t="s">
        <v>68</v>
      </c>
      <c r="D2" s="285"/>
      <c r="F2" s="96"/>
      <c r="G2" s="115"/>
      <c r="H2" s="115"/>
      <c r="I2" s="96"/>
      <c r="J2" s="243"/>
      <c r="K2" s="243"/>
      <c r="L2" s="115"/>
      <c r="O2" s="96"/>
      <c r="P2" s="115"/>
      <c r="Q2" s="115"/>
      <c r="R2" s="5"/>
      <c r="S2" s="115"/>
      <c r="T2" s="95"/>
      <c r="AB2" s="3"/>
      <c r="AC2" s="5" t="s">
        <v>3</v>
      </c>
      <c r="AD2" s="6" t="s">
        <v>41</v>
      </c>
    </row>
    <row r="3" spans="2:30" x14ac:dyDescent="0.25">
      <c r="B3" s="260" t="s">
        <v>3</v>
      </c>
      <c r="C3" s="11" t="s">
        <v>250</v>
      </c>
      <c r="D3" s="12" t="s">
        <v>251</v>
      </c>
      <c r="F3" s="96"/>
      <c r="G3" s="242"/>
      <c r="H3" s="244"/>
      <c r="I3" s="244"/>
      <c r="J3" s="242"/>
      <c r="K3" s="242"/>
      <c r="L3" s="95"/>
      <c r="O3" s="165"/>
      <c r="P3" s="165"/>
      <c r="Q3" s="165"/>
      <c r="R3" s="5"/>
      <c r="S3" s="95"/>
      <c r="T3" s="113"/>
      <c r="AB3" s="24" t="s">
        <v>13</v>
      </c>
      <c r="AC3" s="23">
        <v>20</v>
      </c>
      <c r="AD3" s="33">
        <v>20</v>
      </c>
    </row>
    <row r="4" spans="2:30" x14ac:dyDescent="0.25">
      <c r="B4" s="261"/>
      <c r="C4" s="62">
        <v>17500000</v>
      </c>
      <c r="D4" s="63">
        <v>52250000</v>
      </c>
      <c r="F4" s="96"/>
      <c r="G4" s="242"/>
      <c r="H4" s="134"/>
      <c r="I4" s="134"/>
      <c r="J4" s="242"/>
      <c r="K4" s="242"/>
      <c r="L4" s="113"/>
      <c r="O4" s="165"/>
      <c r="P4" s="165"/>
      <c r="Q4" s="165"/>
      <c r="R4" s="5"/>
      <c r="S4" s="126"/>
      <c r="T4" s="113"/>
      <c r="AB4" s="24"/>
      <c r="AC4" s="23"/>
      <c r="AD4" s="33"/>
    </row>
    <row r="5" spans="2:30" x14ac:dyDescent="0.25">
      <c r="B5" s="261"/>
      <c r="C5" s="62">
        <v>16250000</v>
      </c>
      <c r="D5" s="63">
        <v>81000000</v>
      </c>
      <c r="F5" s="96"/>
      <c r="G5" s="242"/>
      <c r="H5" s="134"/>
      <c r="I5" s="134"/>
      <c r="J5" s="242"/>
      <c r="K5" s="242"/>
      <c r="L5" s="113"/>
      <c r="O5" s="165"/>
      <c r="P5" s="165"/>
      <c r="Q5" s="165"/>
      <c r="R5" s="5"/>
      <c r="S5" s="126"/>
      <c r="T5" s="113"/>
      <c r="AB5" s="24" t="s">
        <v>14</v>
      </c>
      <c r="AC5" s="23">
        <v>-1.873</v>
      </c>
      <c r="AD5" s="33">
        <v>-2.0659999999999998</v>
      </c>
    </row>
    <row r="6" spans="2:30" x14ac:dyDescent="0.25">
      <c r="B6" s="261"/>
      <c r="C6" s="62">
        <v>8750000</v>
      </c>
      <c r="D6" s="63">
        <v>85750000</v>
      </c>
      <c r="F6" s="96"/>
      <c r="G6" s="242"/>
      <c r="H6" s="134"/>
      <c r="I6" s="134"/>
      <c r="J6" s="242"/>
      <c r="K6" s="242"/>
      <c r="L6" s="113"/>
      <c r="O6" s="165"/>
      <c r="P6" s="165"/>
      <c r="Q6" s="165"/>
      <c r="R6" s="5"/>
      <c r="S6" s="126"/>
      <c r="T6" s="113"/>
      <c r="AB6" s="24" t="s">
        <v>15</v>
      </c>
      <c r="AC6" s="23">
        <v>-1.165</v>
      </c>
      <c r="AD6" s="33">
        <v>-0.77470000000000006</v>
      </c>
    </row>
    <row r="7" spans="2:30" x14ac:dyDescent="0.25">
      <c r="B7" s="261"/>
      <c r="C7" s="62">
        <v>17500000</v>
      </c>
      <c r="D7" s="63">
        <v>38000000</v>
      </c>
      <c r="F7" s="96"/>
      <c r="G7" s="242"/>
      <c r="H7" s="134"/>
      <c r="I7" s="134"/>
      <c r="J7" s="242"/>
      <c r="K7" s="242"/>
      <c r="L7" s="113"/>
      <c r="O7" s="96"/>
      <c r="P7" s="165"/>
      <c r="Q7" s="165"/>
      <c r="R7" s="5"/>
      <c r="S7" s="126"/>
      <c r="T7" s="113"/>
      <c r="AB7" s="24" t="s">
        <v>16</v>
      </c>
      <c r="AC7" s="23">
        <v>-0.2833</v>
      </c>
      <c r="AD7" s="33">
        <v>-0.21579999999999999</v>
      </c>
    </row>
    <row r="8" spans="2:30" x14ac:dyDescent="0.25">
      <c r="B8" s="261"/>
      <c r="C8" s="62">
        <v>5500000</v>
      </c>
      <c r="D8" s="63">
        <v>38500000</v>
      </c>
      <c r="F8" s="96"/>
      <c r="G8" s="242"/>
      <c r="H8" s="134"/>
      <c r="I8" s="134"/>
      <c r="J8" s="242"/>
      <c r="K8" s="242"/>
      <c r="L8" s="113"/>
      <c r="O8" s="96"/>
      <c r="P8" s="165"/>
      <c r="Q8" s="165"/>
      <c r="R8" s="5"/>
      <c r="S8" s="126"/>
      <c r="T8" s="113"/>
      <c r="AB8" s="24" t="s">
        <v>17</v>
      </c>
      <c r="AC8" s="23">
        <v>0.5454</v>
      </c>
      <c r="AD8" s="33">
        <v>0.1118</v>
      </c>
    </row>
    <row r="9" spans="2:30" x14ac:dyDescent="0.25">
      <c r="B9" s="261"/>
      <c r="C9" s="62">
        <v>15000000</v>
      </c>
      <c r="D9" s="63">
        <v>12750000</v>
      </c>
      <c r="F9" s="96"/>
      <c r="G9" s="242"/>
      <c r="H9" s="134"/>
      <c r="I9" s="134"/>
      <c r="J9" s="242"/>
      <c r="K9" s="242"/>
      <c r="L9" s="113"/>
      <c r="O9" s="96"/>
      <c r="P9" s="165"/>
      <c r="Q9" s="165"/>
      <c r="R9" s="5"/>
      <c r="S9" s="126"/>
      <c r="T9" s="113"/>
      <c r="AB9" s="24" t="s">
        <v>18</v>
      </c>
      <c r="AC9" s="23">
        <v>3.87</v>
      </c>
      <c r="AD9" s="33">
        <v>1.962</v>
      </c>
    </row>
    <row r="10" spans="2:30" x14ac:dyDescent="0.25">
      <c r="B10" s="261"/>
      <c r="C10" s="62">
        <v>18750000</v>
      </c>
      <c r="D10" s="63">
        <v>12250000</v>
      </c>
      <c r="F10" s="96"/>
      <c r="G10" s="242"/>
      <c r="H10" s="134"/>
      <c r="I10" s="134"/>
      <c r="J10" s="242"/>
      <c r="K10" s="242"/>
      <c r="L10" s="113"/>
      <c r="O10" s="96"/>
      <c r="P10" s="165"/>
      <c r="Q10" s="165"/>
      <c r="R10" s="5"/>
      <c r="S10" s="126"/>
      <c r="T10" s="113"/>
      <c r="AB10" s="24"/>
      <c r="AC10" s="23"/>
      <c r="AD10" s="33"/>
    </row>
    <row r="11" spans="2:30" x14ac:dyDescent="0.25">
      <c r="B11" s="261"/>
      <c r="C11" s="62">
        <v>26250000</v>
      </c>
      <c r="D11" s="63">
        <v>9750000</v>
      </c>
      <c r="F11" s="96"/>
      <c r="G11" s="242"/>
      <c r="H11" s="134"/>
      <c r="I11" s="134"/>
      <c r="J11" s="242"/>
      <c r="K11" s="242"/>
      <c r="L11" s="113"/>
      <c r="O11" s="96"/>
      <c r="P11" s="165"/>
      <c r="Q11" s="165"/>
      <c r="R11" s="5"/>
      <c r="S11" s="126"/>
      <c r="T11" s="113"/>
      <c r="AB11" s="24" t="s">
        <v>19</v>
      </c>
      <c r="AC11" s="23">
        <v>-1.397E-8</v>
      </c>
      <c r="AD11" s="33">
        <v>-0.31319999999999998</v>
      </c>
    </row>
    <row r="12" spans="2:30" x14ac:dyDescent="0.25">
      <c r="B12" s="261"/>
      <c r="C12" s="62">
        <v>6250000</v>
      </c>
      <c r="D12" s="63">
        <v>37250000</v>
      </c>
      <c r="F12" s="96"/>
      <c r="G12" s="242"/>
      <c r="H12" s="134"/>
      <c r="I12" s="134"/>
      <c r="J12" s="242"/>
      <c r="K12" s="242"/>
      <c r="L12" s="113"/>
      <c r="O12" s="96"/>
      <c r="P12" s="165"/>
      <c r="Q12" s="165"/>
      <c r="R12" s="5"/>
      <c r="S12" s="126"/>
      <c r="T12" s="113"/>
      <c r="AB12" s="24" t="s">
        <v>20</v>
      </c>
      <c r="AC12" s="23">
        <v>1.5569999999999999</v>
      </c>
      <c r="AD12" s="33">
        <v>1</v>
      </c>
    </row>
    <row r="13" spans="2:30" x14ac:dyDescent="0.25">
      <c r="B13" s="261"/>
      <c r="C13" s="62">
        <v>8250000</v>
      </c>
      <c r="D13" s="63">
        <v>14500000</v>
      </c>
      <c r="F13" s="96"/>
      <c r="G13" s="242"/>
      <c r="H13" s="134"/>
      <c r="I13" s="134"/>
      <c r="J13" s="242"/>
      <c r="K13" s="242"/>
      <c r="L13" s="113"/>
      <c r="O13" s="96"/>
      <c r="P13" s="165"/>
      <c r="Q13" s="165"/>
      <c r="R13" s="5"/>
      <c r="S13" s="126"/>
      <c r="T13" s="113"/>
      <c r="AB13" s="24" t="s">
        <v>21</v>
      </c>
      <c r="AC13" s="23">
        <v>0.34810000000000002</v>
      </c>
      <c r="AD13" s="33">
        <v>0.22359999999999999</v>
      </c>
    </row>
    <row r="14" spans="2:30" x14ac:dyDescent="0.25">
      <c r="B14" s="261"/>
      <c r="C14" s="62">
        <v>28500000</v>
      </c>
      <c r="D14" s="63">
        <v>28000000</v>
      </c>
      <c r="F14" s="96"/>
      <c r="G14" s="242"/>
      <c r="H14" s="134"/>
      <c r="I14" s="134"/>
      <c r="J14" s="242"/>
      <c r="K14" s="242"/>
      <c r="L14" s="113"/>
      <c r="O14" s="96"/>
      <c r="P14" s="165"/>
      <c r="Q14" s="165"/>
      <c r="R14" s="5"/>
      <c r="S14" s="126"/>
      <c r="T14" s="113"/>
      <c r="AB14" s="24"/>
      <c r="AC14" s="23"/>
      <c r="AD14" s="33"/>
    </row>
    <row r="15" spans="2:30" x14ac:dyDescent="0.25">
      <c r="B15" s="261"/>
      <c r="C15" s="62">
        <v>8000000</v>
      </c>
      <c r="D15" s="63">
        <v>21000000</v>
      </c>
      <c r="F15" s="96"/>
      <c r="G15" s="242"/>
      <c r="H15" s="134"/>
      <c r="I15" s="134"/>
      <c r="J15" s="242"/>
      <c r="K15" s="242"/>
      <c r="L15" s="113"/>
      <c r="O15" s="96"/>
      <c r="P15" s="165"/>
      <c r="Q15" s="165"/>
      <c r="R15" s="5"/>
      <c r="S15" s="126"/>
      <c r="T15" s="113"/>
      <c r="AB15" s="24" t="s">
        <v>22</v>
      </c>
      <c r="AC15" s="23">
        <v>-0.72850000000000004</v>
      </c>
      <c r="AD15" s="33">
        <v>-0.78120000000000001</v>
      </c>
    </row>
    <row r="16" spans="2:30" x14ac:dyDescent="0.25">
      <c r="B16" s="261"/>
      <c r="C16" s="62">
        <v>15250000</v>
      </c>
      <c r="D16" s="63">
        <v>19500000</v>
      </c>
      <c r="F16" s="96"/>
      <c r="G16" s="242"/>
      <c r="H16" s="134"/>
      <c r="I16" s="134"/>
      <c r="J16" s="242"/>
      <c r="K16" s="242"/>
      <c r="L16" s="113"/>
      <c r="O16" s="96"/>
      <c r="P16" s="165"/>
      <c r="Q16" s="165"/>
      <c r="R16" s="5"/>
      <c r="S16" s="126"/>
      <c r="T16" s="113"/>
      <c r="AB16" s="24" t="s">
        <v>23</v>
      </c>
      <c r="AC16" s="23">
        <v>0.72850000000000004</v>
      </c>
      <c r="AD16" s="33">
        <v>0.15490000000000001</v>
      </c>
    </row>
    <row r="17" spans="2:30" x14ac:dyDescent="0.25">
      <c r="B17" s="261"/>
      <c r="C17" s="62">
        <v>3250000</v>
      </c>
      <c r="D17" s="63">
        <v>25500000</v>
      </c>
      <c r="F17" s="96"/>
      <c r="G17" s="242"/>
      <c r="H17" s="134"/>
      <c r="I17" s="134"/>
      <c r="J17" s="242"/>
      <c r="K17" s="242"/>
      <c r="L17" s="113"/>
      <c r="O17" s="96"/>
      <c r="P17" s="165"/>
      <c r="Q17" s="165"/>
      <c r="R17" s="5"/>
      <c r="S17" s="126"/>
      <c r="T17" s="113"/>
      <c r="AB17" s="24"/>
      <c r="AC17" s="23"/>
      <c r="AD17" s="33"/>
    </row>
    <row r="18" spans="2:30" x14ac:dyDescent="0.25">
      <c r="B18" s="261"/>
      <c r="C18" s="62">
        <v>28000000</v>
      </c>
      <c r="D18" s="63">
        <v>18250000</v>
      </c>
      <c r="F18" s="96"/>
      <c r="G18" s="242"/>
      <c r="H18" s="134"/>
      <c r="I18" s="134"/>
      <c r="J18" s="242"/>
      <c r="K18" s="242"/>
      <c r="L18" s="113"/>
      <c r="O18" s="96"/>
      <c r="P18" s="165"/>
      <c r="Q18" s="165"/>
      <c r="R18" s="5"/>
      <c r="S18" s="126"/>
      <c r="T18" s="113"/>
      <c r="AB18" s="24" t="s">
        <v>24</v>
      </c>
      <c r="AC18" s="23"/>
      <c r="AD18" s="33"/>
    </row>
    <row r="19" spans="2:30" x14ac:dyDescent="0.25">
      <c r="B19" s="261"/>
      <c r="C19" s="62">
        <v>14500000</v>
      </c>
      <c r="D19" s="63">
        <v>35250000</v>
      </c>
      <c r="F19" s="96"/>
      <c r="G19" s="242"/>
      <c r="H19" s="134"/>
      <c r="I19" s="134"/>
      <c r="J19" s="242"/>
      <c r="K19" s="242"/>
      <c r="L19" s="113"/>
      <c r="O19" s="96"/>
      <c r="P19" s="165"/>
      <c r="Q19" s="165"/>
      <c r="R19" s="5"/>
      <c r="S19" s="126"/>
      <c r="T19" s="113"/>
      <c r="AB19" s="24" t="s">
        <v>25</v>
      </c>
      <c r="AC19" s="23">
        <v>9.7449999999999992</v>
      </c>
      <c r="AD19" s="33">
        <v>0.61850000000000005</v>
      </c>
    </row>
    <row r="20" spans="2:30" x14ac:dyDescent="0.25">
      <c r="B20" s="261"/>
      <c r="C20" s="62">
        <v>31000000</v>
      </c>
      <c r="D20" s="63">
        <v>12250000</v>
      </c>
      <c r="F20" s="96"/>
      <c r="G20" s="242"/>
      <c r="H20" s="134"/>
      <c r="I20" s="134"/>
      <c r="J20" s="242"/>
      <c r="K20" s="242"/>
      <c r="L20" s="113"/>
      <c r="O20" s="96"/>
      <c r="P20" s="165"/>
      <c r="Q20" s="165"/>
      <c r="R20" s="5"/>
      <c r="S20" s="126"/>
      <c r="T20" s="113"/>
      <c r="AB20" s="24" t="s">
        <v>26</v>
      </c>
      <c r="AC20" s="23">
        <v>7.7000000000000002E-3</v>
      </c>
      <c r="AD20" s="33">
        <v>0.73399999999999999</v>
      </c>
    </row>
    <row r="21" spans="2:30" x14ac:dyDescent="0.25">
      <c r="B21" s="261"/>
      <c r="C21" s="62">
        <v>18750000</v>
      </c>
      <c r="D21" s="63">
        <v>23000000</v>
      </c>
      <c r="F21" s="96"/>
      <c r="G21" s="242"/>
      <c r="H21" s="134"/>
      <c r="I21" s="134"/>
      <c r="J21" s="242"/>
      <c r="K21" s="242"/>
      <c r="L21" s="113"/>
      <c r="O21" s="96"/>
      <c r="P21" s="165"/>
      <c r="Q21" s="165"/>
      <c r="R21" s="5"/>
      <c r="S21" s="126"/>
      <c r="T21" s="113"/>
      <c r="AB21" s="24" t="s">
        <v>27</v>
      </c>
      <c r="AC21" s="32" t="s">
        <v>28</v>
      </c>
      <c r="AD21" s="64" t="s">
        <v>34</v>
      </c>
    </row>
    <row r="22" spans="2:30" x14ac:dyDescent="0.25">
      <c r="B22" s="261"/>
      <c r="C22" s="62">
        <v>9250000</v>
      </c>
      <c r="D22" s="63">
        <v>29750000</v>
      </c>
      <c r="F22" s="96"/>
      <c r="G22" s="242"/>
      <c r="H22" s="134"/>
      <c r="I22" s="134"/>
      <c r="J22" s="242"/>
      <c r="K22" s="242"/>
      <c r="L22" s="113"/>
      <c r="O22" s="96"/>
      <c r="P22" s="165"/>
      <c r="Q22" s="165"/>
      <c r="R22" s="5"/>
      <c r="S22" s="126"/>
      <c r="T22" s="113"/>
      <c r="AB22" s="24" t="s">
        <v>29</v>
      </c>
      <c r="AC22" s="32" t="s">
        <v>37</v>
      </c>
      <c r="AD22" s="64" t="s">
        <v>36</v>
      </c>
    </row>
    <row r="23" spans="2:30" x14ac:dyDescent="0.25">
      <c r="B23" s="262"/>
      <c r="C23" s="65">
        <v>25500000</v>
      </c>
      <c r="D23" s="66">
        <v>24500000</v>
      </c>
      <c r="F23" s="96"/>
      <c r="G23" s="242"/>
      <c r="H23" s="134"/>
      <c r="I23" s="134"/>
      <c r="J23" s="242"/>
      <c r="K23" s="242"/>
      <c r="L23" s="113"/>
      <c r="O23" s="96"/>
      <c r="P23" s="165"/>
      <c r="Q23" s="165"/>
      <c r="R23" s="5"/>
      <c r="S23" s="126"/>
      <c r="T23" s="113"/>
      <c r="Y23" s="5"/>
      <c r="Z23" s="5"/>
      <c r="AB23" s="24"/>
      <c r="AC23" s="23"/>
      <c r="AD23" s="33"/>
    </row>
    <row r="24" spans="2:30" x14ac:dyDescent="0.25">
      <c r="B24" s="260" t="s">
        <v>41</v>
      </c>
      <c r="C24" s="67">
        <v>32250000</v>
      </c>
      <c r="D24" s="68">
        <v>26000000</v>
      </c>
      <c r="G24" s="96"/>
      <c r="H24" s="134"/>
      <c r="I24" s="134"/>
      <c r="J24" s="126"/>
      <c r="K24" s="113"/>
      <c r="L24" s="113"/>
      <c r="M24" s="8"/>
      <c r="O24" s="96"/>
      <c r="P24" s="165"/>
      <c r="Q24" s="165"/>
      <c r="R24" s="5"/>
      <c r="S24" s="126"/>
      <c r="T24" s="113"/>
      <c r="Y24" s="5"/>
      <c r="Z24" s="5"/>
      <c r="AB24" s="24" t="s">
        <v>31</v>
      </c>
      <c r="AC24" s="23">
        <v>-2.7939999999999997E-7</v>
      </c>
      <c r="AD24" s="33">
        <v>-6.2629999999999999</v>
      </c>
    </row>
    <row r="25" spans="2:30" x14ac:dyDescent="0.25">
      <c r="B25" s="261"/>
      <c r="C25" s="62">
        <v>20250000</v>
      </c>
      <c r="D25" s="63">
        <v>25000000</v>
      </c>
      <c r="G25" s="96"/>
      <c r="H25" s="96"/>
      <c r="I25" s="96"/>
      <c r="J25" s="126"/>
      <c r="K25" s="113"/>
      <c r="L25" s="113"/>
      <c r="M25" s="8"/>
      <c r="O25" s="96"/>
      <c r="P25" s="165"/>
      <c r="Q25" s="165"/>
      <c r="R25" s="5"/>
      <c r="S25" s="126"/>
      <c r="T25" s="113"/>
      <c r="Y25" s="5"/>
      <c r="Z25" s="5"/>
      <c r="AB25" s="69" t="s">
        <v>69</v>
      </c>
      <c r="AC25" s="70"/>
      <c r="AD25" s="71"/>
    </row>
    <row r="26" spans="2:30" x14ac:dyDescent="0.25">
      <c r="B26" s="261"/>
      <c r="C26" s="62">
        <v>63750000</v>
      </c>
      <c r="D26" s="63">
        <v>8750000</v>
      </c>
      <c r="J26" s="114"/>
      <c r="K26" s="114"/>
      <c r="L26" s="114"/>
      <c r="M26" s="8"/>
      <c r="S26" s="113"/>
      <c r="T26" s="83"/>
      <c r="Y26" s="5"/>
      <c r="Z26" s="5"/>
      <c r="AB26" s="52" t="s">
        <v>32</v>
      </c>
      <c r="AC26" s="31" t="s">
        <v>70</v>
      </c>
      <c r="AD26" s="9"/>
    </row>
    <row r="27" spans="2:30" x14ac:dyDescent="0.25">
      <c r="B27" s="261"/>
      <c r="C27" s="62">
        <v>24500000</v>
      </c>
      <c r="D27" s="63">
        <v>19500000</v>
      </c>
      <c r="J27" s="126"/>
      <c r="K27" s="120"/>
      <c r="L27" s="83"/>
      <c r="M27" s="8"/>
      <c r="S27" s="126"/>
      <c r="T27" s="83"/>
      <c r="Y27" s="5"/>
      <c r="Z27" s="5"/>
      <c r="AB27" s="52"/>
      <c r="AC27" s="31"/>
      <c r="AD27" s="9"/>
    </row>
    <row r="28" spans="2:30" x14ac:dyDescent="0.25">
      <c r="B28" s="261"/>
      <c r="C28" s="62">
        <v>19500000</v>
      </c>
      <c r="D28" s="63">
        <v>5000000</v>
      </c>
      <c r="J28" s="126"/>
      <c r="K28" s="120"/>
      <c r="L28" s="83"/>
      <c r="M28" s="8"/>
      <c r="S28" s="126"/>
      <c r="T28" s="83"/>
      <c r="Y28" s="5"/>
      <c r="Z28" s="5"/>
      <c r="AB28" s="52" t="s">
        <v>71</v>
      </c>
      <c r="AC28" s="4" t="s">
        <v>41</v>
      </c>
      <c r="AD28" s="9"/>
    </row>
    <row r="29" spans="2:30" x14ac:dyDescent="0.25">
      <c r="B29" s="261"/>
      <c r="C29" s="62">
        <v>27000000</v>
      </c>
      <c r="D29" s="63">
        <v>9750000</v>
      </c>
      <c r="J29" s="126"/>
      <c r="K29" s="113"/>
      <c r="L29" s="83"/>
      <c r="M29" s="8"/>
      <c r="S29" s="126"/>
      <c r="T29" s="83"/>
      <c r="Y29" s="5"/>
      <c r="Z29" s="5"/>
      <c r="AB29" s="52" t="s">
        <v>72</v>
      </c>
      <c r="AC29" s="4" t="s">
        <v>72</v>
      </c>
      <c r="AD29" s="9"/>
    </row>
    <row r="30" spans="2:30" x14ac:dyDescent="0.25">
      <c r="B30" s="261"/>
      <c r="C30" s="62">
        <v>37250000</v>
      </c>
      <c r="D30" s="63">
        <v>8000000</v>
      </c>
      <c r="J30" s="126"/>
      <c r="K30" s="113"/>
      <c r="L30" s="83"/>
      <c r="M30" s="8"/>
      <c r="S30" s="126"/>
      <c r="T30" s="83"/>
      <c r="Y30" s="5"/>
      <c r="Z30" s="5"/>
      <c r="AB30" s="52" t="s">
        <v>73</v>
      </c>
      <c r="AC30" s="4" t="s">
        <v>3</v>
      </c>
      <c r="AD30" s="9"/>
    </row>
    <row r="31" spans="2:30" x14ac:dyDescent="0.25">
      <c r="B31" s="261"/>
      <c r="C31" s="62">
        <v>42500000</v>
      </c>
      <c r="D31" s="63">
        <v>2750000</v>
      </c>
      <c r="J31" s="126"/>
      <c r="K31" s="113"/>
      <c r="L31" s="83"/>
      <c r="M31" s="8"/>
      <c r="S31" s="126"/>
      <c r="T31" s="83"/>
      <c r="Y31" s="5"/>
      <c r="Z31" s="5"/>
      <c r="AB31" s="52"/>
      <c r="AC31" s="4"/>
      <c r="AD31" s="9"/>
    </row>
    <row r="32" spans="2:30" x14ac:dyDescent="0.25">
      <c r="B32" s="261"/>
      <c r="C32" s="62">
        <v>31500000</v>
      </c>
      <c r="D32" s="63">
        <v>12750000</v>
      </c>
      <c r="J32" s="126"/>
      <c r="K32" s="113"/>
      <c r="L32" s="83"/>
      <c r="M32" s="8"/>
      <c r="S32" s="126"/>
      <c r="T32" s="83"/>
      <c r="Y32" s="5"/>
      <c r="Z32" s="5"/>
      <c r="AB32" s="52" t="s">
        <v>74</v>
      </c>
      <c r="AC32" s="4"/>
      <c r="AD32" s="9"/>
    </row>
    <row r="33" spans="2:30" x14ac:dyDescent="0.25">
      <c r="B33" s="261"/>
      <c r="C33" s="62">
        <v>34750000</v>
      </c>
      <c r="D33" s="63">
        <v>3750000</v>
      </c>
      <c r="J33" s="126"/>
      <c r="K33" s="113"/>
      <c r="L33" s="83"/>
      <c r="M33" s="8"/>
      <c r="S33" s="126"/>
      <c r="T33" s="83"/>
      <c r="Y33" s="5"/>
      <c r="Z33" s="5"/>
      <c r="AB33" s="52" t="s">
        <v>26</v>
      </c>
      <c r="AC33" s="26">
        <v>0.95199999999999996</v>
      </c>
      <c r="AD33" s="9"/>
    </row>
    <row r="34" spans="2:30" x14ac:dyDescent="0.25">
      <c r="B34" s="261"/>
      <c r="C34" s="62">
        <v>19000000</v>
      </c>
      <c r="D34" s="63">
        <v>4500000</v>
      </c>
      <c r="J34" s="126"/>
      <c r="K34" s="113"/>
      <c r="L34" s="83"/>
      <c r="M34" s="8"/>
      <c r="S34" s="126"/>
      <c r="T34" s="83"/>
      <c r="Y34" s="5"/>
      <c r="Z34" s="5"/>
      <c r="AB34" s="52" t="s">
        <v>33</v>
      </c>
      <c r="AC34" s="4" t="s">
        <v>75</v>
      </c>
      <c r="AD34" s="9"/>
    </row>
    <row r="35" spans="2:30" x14ac:dyDescent="0.25">
      <c r="B35" s="261"/>
      <c r="C35" s="62">
        <v>33250000</v>
      </c>
      <c r="D35" s="63">
        <v>13750000</v>
      </c>
      <c r="J35" s="126"/>
      <c r="K35" s="113"/>
      <c r="L35" s="83"/>
      <c r="M35" s="8"/>
      <c r="S35" s="126"/>
      <c r="T35" s="83"/>
      <c r="Y35" s="5"/>
      <c r="Z35" s="5"/>
      <c r="AB35" s="52" t="s">
        <v>29</v>
      </c>
      <c r="AC35" s="4" t="s">
        <v>36</v>
      </c>
      <c r="AD35" s="9"/>
    </row>
    <row r="36" spans="2:30" x14ac:dyDescent="0.25">
      <c r="B36" s="261"/>
      <c r="C36" s="62">
        <v>33500000</v>
      </c>
      <c r="D36" s="63">
        <v>9000000</v>
      </c>
      <c r="J36" s="126"/>
      <c r="K36" s="113"/>
      <c r="L36" s="83"/>
      <c r="M36" s="8"/>
      <c r="S36" s="126"/>
      <c r="T36" s="83"/>
      <c r="Y36" s="5"/>
      <c r="Z36" s="5"/>
      <c r="AB36" s="52" t="s">
        <v>76</v>
      </c>
      <c r="AC36" s="26" t="s">
        <v>28</v>
      </c>
      <c r="AD36" s="9"/>
    </row>
    <row r="37" spans="2:30" x14ac:dyDescent="0.25">
      <c r="B37" s="261"/>
      <c r="C37" s="62">
        <v>45000000</v>
      </c>
      <c r="D37" s="63">
        <v>17500000</v>
      </c>
      <c r="J37" s="126"/>
      <c r="K37" s="113"/>
      <c r="L37" s="83"/>
      <c r="M37" s="8"/>
      <c r="S37" s="126"/>
      <c r="T37" s="83"/>
      <c r="Y37" s="5"/>
      <c r="Z37" s="5"/>
      <c r="AB37" s="52" t="s">
        <v>77</v>
      </c>
      <c r="AC37" s="4" t="s">
        <v>78</v>
      </c>
      <c r="AD37" s="9"/>
    </row>
    <row r="38" spans="2:30" x14ac:dyDescent="0.25">
      <c r="B38" s="261"/>
      <c r="C38" s="62">
        <v>16750000</v>
      </c>
      <c r="D38" s="63">
        <v>10500000</v>
      </c>
      <c r="J38" s="126"/>
      <c r="K38" s="113"/>
      <c r="L38" s="83"/>
      <c r="M38" s="8"/>
      <c r="S38" s="126"/>
      <c r="T38" s="83"/>
      <c r="Y38" s="5"/>
      <c r="Z38" s="5"/>
      <c r="AB38" s="52" t="s">
        <v>79</v>
      </c>
      <c r="AC38" s="4" t="s">
        <v>80</v>
      </c>
      <c r="AD38" s="9"/>
    </row>
    <row r="39" spans="2:30" x14ac:dyDescent="0.25">
      <c r="B39" s="261"/>
      <c r="C39" s="62">
        <v>39250000</v>
      </c>
      <c r="D39" s="63">
        <v>9750000</v>
      </c>
      <c r="J39" s="126"/>
      <c r="K39" s="113"/>
      <c r="L39" s="83"/>
      <c r="M39" s="8"/>
      <c r="S39" s="126"/>
      <c r="T39" s="83"/>
      <c r="Y39" s="5"/>
      <c r="Z39" s="5"/>
      <c r="AB39" s="52" t="s">
        <v>81</v>
      </c>
      <c r="AC39" s="4">
        <v>197.5</v>
      </c>
      <c r="AD39" s="9"/>
    </row>
    <row r="40" spans="2:30" x14ac:dyDescent="0.25">
      <c r="B40" s="261"/>
      <c r="C40" s="62">
        <v>31500000</v>
      </c>
      <c r="D40" s="63">
        <v>12750000</v>
      </c>
      <c r="J40" s="126"/>
      <c r="K40" s="113"/>
      <c r="L40" s="83"/>
      <c r="M40" s="8"/>
      <c r="S40" s="126"/>
      <c r="T40" s="83"/>
      <c r="V40" s="62"/>
      <c r="W40" s="62"/>
      <c r="Y40" s="5"/>
      <c r="Z40" s="5"/>
      <c r="AB40" s="52"/>
      <c r="AC40" s="4"/>
      <c r="AD40" s="9"/>
    </row>
    <row r="41" spans="2:30" x14ac:dyDescent="0.25">
      <c r="B41" s="261"/>
      <c r="C41" s="62">
        <v>35750000</v>
      </c>
      <c r="D41" s="63">
        <v>15500000</v>
      </c>
      <c r="J41" s="126"/>
      <c r="K41" s="113"/>
      <c r="L41" s="83"/>
      <c r="M41" s="8"/>
      <c r="S41" s="126"/>
      <c r="T41" s="83"/>
      <c r="V41" s="62"/>
      <c r="W41" s="62"/>
      <c r="Y41" s="5"/>
      <c r="Z41" s="5"/>
      <c r="AB41" s="52" t="s">
        <v>82</v>
      </c>
      <c r="AC41" s="4"/>
      <c r="AD41" s="9"/>
    </row>
    <row r="42" spans="2:30" x14ac:dyDescent="0.25">
      <c r="B42" s="261"/>
      <c r="C42" s="62">
        <v>9750000</v>
      </c>
      <c r="D42" s="63">
        <v>10500000</v>
      </c>
      <c r="J42" s="126"/>
      <c r="K42" s="113"/>
      <c r="L42" s="83"/>
      <c r="M42" s="8"/>
      <c r="S42" s="126"/>
      <c r="T42" s="83"/>
      <c r="V42" s="62"/>
      <c r="W42" s="62"/>
      <c r="Y42" s="5"/>
      <c r="Z42" s="5"/>
      <c r="AB42" s="52" t="s">
        <v>83</v>
      </c>
      <c r="AC42" s="4">
        <v>-0.2833</v>
      </c>
      <c r="AD42" s="9"/>
    </row>
    <row r="43" spans="2:30" x14ac:dyDescent="0.25">
      <c r="B43" s="262"/>
      <c r="C43" s="65">
        <v>28250000</v>
      </c>
      <c r="D43" s="66">
        <v>9500000</v>
      </c>
      <c r="J43" s="126"/>
      <c r="K43" s="113"/>
      <c r="L43" s="83"/>
      <c r="M43" s="8"/>
      <c r="S43" s="126"/>
      <c r="T43" s="83"/>
      <c r="V43" s="62"/>
      <c r="W43" s="62"/>
      <c r="AB43" s="52" t="s">
        <v>84</v>
      </c>
      <c r="AC43" s="4">
        <v>-0.21579999999999999</v>
      </c>
      <c r="AD43" s="9"/>
    </row>
    <row r="44" spans="2:30" x14ac:dyDescent="0.25">
      <c r="J44" s="126"/>
      <c r="K44" s="113"/>
      <c r="L44" s="83"/>
      <c r="M44" s="8"/>
      <c r="S44" s="126"/>
      <c r="T44" s="83"/>
      <c r="AB44" s="52" t="s">
        <v>85</v>
      </c>
      <c r="AC44" s="4">
        <v>6.7449999999999996E-2</v>
      </c>
      <c r="AD44" s="9"/>
    </row>
    <row r="45" spans="2:30" x14ac:dyDescent="0.25">
      <c r="J45" s="126"/>
      <c r="K45" s="113"/>
      <c r="L45" s="83"/>
      <c r="M45" s="8"/>
      <c r="S45" s="126"/>
      <c r="T45" s="83"/>
      <c r="AB45" s="58" t="s">
        <v>86</v>
      </c>
      <c r="AC45" s="30">
        <v>-4.8180000000000001E-2</v>
      </c>
      <c r="AD45" s="51"/>
    </row>
    <row r="46" spans="2:30" x14ac:dyDescent="0.25">
      <c r="J46" s="126"/>
      <c r="K46" s="113"/>
      <c r="L46" s="83"/>
      <c r="M46" s="8"/>
      <c r="S46" s="126"/>
      <c r="T46" s="83"/>
    </row>
    <row r="47" spans="2:30" x14ac:dyDescent="0.25">
      <c r="S47" s="126"/>
      <c r="T47" s="83"/>
    </row>
    <row r="48" spans="2:30" x14ac:dyDescent="0.25">
      <c r="S48" s="126"/>
      <c r="T48" s="83"/>
    </row>
    <row r="49" spans="19:20" x14ac:dyDescent="0.25">
      <c r="S49" s="126"/>
      <c r="T49" s="83"/>
    </row>
    <row r="50" spans="19:20" x14ac:dyDescent="0.25">
      <c r="S50" s="126"/>
      <c r="T50" s="83"/>
    </row>
  </sheetData>
  <mergeCells count="3">
    <mergeCell ref="B3:B23"/>
    <mergeCell ref="B24:B43"/>
    <mergeCell ref="C2:D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77A4-5FFD-4D43-AF62-DD3850682CE3}">
  <dimension ref="A1:Y103"/>
  <sheetViews>
    <sheetView zoomScale="83" workbookViewId="0">
      <selection activeCell="I10" sqref="I10"/>
    </sheetView>
  </sheetViews>
  <sheetFormatPr defaultRowHeight="15" x14ac:dyDescent="0.25"/>
  <cols>
    <col min="2" max="2" width="15.5703125" customWidth="1"/>
    <col min="3" max="3" width="20.140625" customWidth="1"/>
    <col min="5" max="5" width="16" customWidth="1"/>
    <col min="6" max="6" width="16.7109375" customWidth="1"/>
    <col min="8" max="8" width="16.140625" customWidth="1"/>
    <col min="9" max="9" width="17.42578125" customWidth="1"/>
    <col min="16" max="16" width="15.42578125" customWidth="1"/>
    <col min="18" max="18" width="16.5703125" customWidth="1"/>
    <col min="20" max="20" width="14.85546875" customWidth="1"/>
    <col min="22" max="22" width="27.28515625" customWidth="1"/>
  </cols>
  <sheetData>
    <row r="1" spans="2:25" x14ac:dyDescent="0.25">
      <c r="B1" s="121" t="s">
        <v>249</v>
      </c>
      <c r="G1" s="96"/>
      <c r="H1" s="96"/>
      <c r="I1" s="96"/>
      <c r="J1" s="96"/>
      <c r="P1" s="96"/>
      <c r="Q1" s="119"/>
      <c r="R1" s="119"/>
      <c r="S1" s="119"/>
      <c r="T1" s="119"/>
      <c r="U1" s="119"/>
      <c r="V1" s="119"/>
      <c r="W1" s="96"/>
      <c r="X1" s="96"/>
      <c r="Y1" s="96"/>
    </row>
    <row r="2" spans="2:25" x14ac:dyDescent="0.25">
      <c r="B2" s="289" t="s">
        <v>250</v>
      </c>
      <c r="C2" s="290"/>
      <c r="D2" s="115"/>
      <c r="E2" s="291" t="s">
        <v>251</v>
      </c>
      <c r="F2" s="292"/>
      <c r="G2" s="96"/>
      <c r="H2" s="245"/>
      <c r="I2" s="245"/>
      <c r="J2" s="96"/>
      <c r="P2" s="96"/>
      <c r="Q2" s="119"/>
      <c r="R2" s="119"/>
      <c r="S2" s="119"/>
      <c r="T2" s="119"/>
      <c r="U2" s="119"/>
      <c r="V2" s="119"/>
      <c r="W2" s="144"/>
      <c r="X2" s="119"/>
      <c r="Y2" s="119"/>
    </row>
    <row r="3" spans="2:25" x14ac:dyDescent="0.25">
      <c r="B3" s="3" t="s">
        <v>3</v>
      </c>
      <c r="C3" s="6" t="s">
        <v>87</v>
      </c>
      <c r="D3" s="165"/>
      <c r="E3" s="3" t="s">
        <v>3</v>
      </c>
      <c r="F3" s="6" t="s">
        <v>41</v>
      </c>
      <c r="G3" s="242"/>
      <c r="H3" s="134"/>
      <c r="I3" s="134"/>
      <c r="J3" s="96"/>
      <c r="P3" s="96"/>
      <c r="Q3" s="165"/>
      <c r="R3" s="165"/>
      <c r="S3" s="165"/>
      <c r="T3" s="165"/>
      <c r="U3" s="165"/>
      <c r="V3" s="165"/>
      <c r="W3" s="165"/>
      <c r="X3" s="165"/>
      <c r="Y3" s="165"/>
    </row>
    <row r="4" spans="2:25" x14ac:dyDescent="0.25">
      <c r="B4" s="199">
        <f>44/4*1000000</f>
        <v>11000000</v>
      </c>
      <c r="C4" s="147">
        <f>83/4*1000000</f>
        <v>20750000</v>
      </c>
      <c r="D4" s="210"/>
      <c r="E4" s="199">
        <f>181/4*1000000</f>
        <v>45250000</v>
      </c>
      <c r="F4" s="147">
        <f>36/4*1000000</f>
        <v>9000000</v>
      </c>
      <c r="G4" s="83"/>
      <c r="H4" s="134"/>
      <c r="I4" s="134"/>
      <c r="J4" s="234"/>
      <c r="P4" s="96"/>
      <c r="Q4" s="223"/>
      <c r="R4" s="143"/>
      <c r="S4" s="165"/>
      <c r="T4" s="165"/>
      <c r="U4" s="165"/>
      <c r="V4" s="165"/>
      <c r="W4" s="99"/>
      <c r="X4" s="99"/>
      <c r="Y4" s="99"/>
    </row>
    <row r="5" spans="2:25" x14ac:dyDescent="0.25">
      <c r="B5" s="199">
        <f>91/4*1000000</f>
        <v>22750000</v>
      </c>
      <c r="C5" s="147">
        <f>55/4*1000000</f>
        <v>13750000</v>
      </c>
      <c r="D5" s="83"/>
      <c r="E5" s="199">
        <f>97/4*1000000</f>
        <v>24250000</v>
      </c>
      <c r="F5" s="147">
        <f>29/4*1000000</f>
        <v>7250000</v>
      </c>
      <c r="G5" s="83"/>
      <c r="H5" s="134"/>
      <c r="I5" s="134"/>
      <c r="J5" s="96"/>
      <c r="P5" s="96"/>
      <c r="Q5" s="223"/>
      <c r="R5" s="143"/>
      <c r="S5" s="165"/>
      <c r="T5" s="165"/>
      <c r="U5" s="165"/>
      <c r="V5" s="165"/>
      <c r="W5" s="99"/>
      <c r="X5" s="99"/>
      <c r="Y5" s="99"/>
    </row>
    <row r="6" spans="2:25" x14ac:dyDescent="0.25">
      <c r="B6" s="199">
        <f>45/4*1000000</f>
        <v>11250000</v>
      </c>
      <c r="C6" s="147">
        <f>81/4*1000000</f>
        <v>20250000</v>
      </c>
      <c r="D6" s="210"/>
      <c r="E6" s="199">
        <f>130/4*1000000</f>
        <v>32500000</v>
      </c>
      <c r="F6" s="147">
        <f>51/4*1000000</f>
        <v>12750000</v>
      </c>
      <c r="G6" s="83"/>
      <c r="H6" s="134"/>
      <c r="I6" s="134"/>
      <c r="J6" s="96"/>
      <c r="P6" s="96"/>
      <c r="Q6" s="223"/>
      <c r="R6" s="143"/>
      <c r="S6" s="165"/>
      <c r="T6" s="165"/>
      <c r="U6" s="165"/>
      <c r="V6" s="165"/>
      <c r="W6" s="99"/>
      <c r="X6" s="99"/>
      <c r="Y6" s="99"/>
    </row>
    <row r="7" spans="2:25" x14ac:dyDescent="0.25">
      <c r="B7" s="199">
        <f>115/4*1000000</f>
        <v>28750000</v>
      </c>
      <c r="C7" s="147">
        <f>189/4*1000000</f>
        <v>47250000</v>
      </c>
      <c r="D7" s="210"/>
      <c r="E7" s="199">
        <f>98/4*1000000</f>
        <v>24500000</v>
      </c>
      <c r="F7" s="147">
        <f>74/4*1000000</f>
        <v>18500000</v>
      </c>
      <c r="G7" s="83"/>
      <c r="H7" s="134"/>
      <c r="I7" s="134"/>
      <c r="J7" s="96"/>
      <c r="P7" s="96"/>
      <c r="Q7" s="223"/>
      <c r="R7" s="143"/>
      <c r="S7" s="165"/>
      <c r="T7" s="165"/>
      <c r="U7" s="165"/>
      <c r="V7" s="165"/>
      <c r="W7" s="99"/>
      <c r="X7" s="99"/>
      <c r="Y7" s="99"/>
    </row>
    <row r="8" spans="2:25" x14ac:dyDescent="0.25">
      <c r="B8" s="199">
        <f>109/4*1000000</f>
        <v>27250000</v>
      </c>
      <c r="C8" s="147">
        <f>156/4*1000000</f>
        <v>39000000</v>
      </c>
      <c r="D8" s="210"/>
      <c r="E8" s="199">
        <f>104/4*1000000</f>
        <v>26000000</v>
      </c>
      <c r="F8" s="147">
        <f>73/4*1000000</f>
        <v>18250000</v>
      </c>
      <c r="G8" s="83"/>
      <c r="H8" s="134"/>
      <c r="I8" s="134"/>
      <c r="J8" s="96"/>
      <c r="P8" s="96"/>
      <c r="Q8" s="223"/>
      <c r="R8" s="143"/>
      <c r="S8" s="165"/>
      <c r="T8" s="165"/>
      <c r="U8" s="165"/>
      <c r="V8" s="165"/>
      <c r="W8" s="99"/>
      <c r="X8" s="99"/>
      <c r="Y8" s="99"/>
    </row>
    <row r="9" spans="2:25" x14ac:dyDescent="0.25">
      <c r="B9" s="199">
        <f>74/4*1000000</f>
        <v>18500000</v>
      </c>
      <c r="C9" s="147">
        <f>72/4*1000000</f>
        <v>18000000</v>
      </c>
      <c r="D9" s="83"/>
      <c r="E9" s="199">
        <f>74/4*1000000</f>
        <v>18500000</v>
      </c>
      <c r="F9" s="147">
        <f>32/4*1000000</f>
        <v>8000000</v>
      </c>
      <c r="G9" s="83"/>
      <c r="H9" s="134"/>
      <c r="I9" s="134"/>
      <c r="J9" s="96"/>
      <c r="P9" s="96"/>
      <c r="Q9" s="223"/>
      <c r="R9" s="143"/>
      <c r="S9" s="165"/>
      <c r="T9" s="165"/>
      <c r="U9" s="165"/>
      <c r="V9" s="165"/>
      <c r="W9" s="99"/>
      <c r="X9" s="99"/>
      <c r="Y9" s="99"/>
    </row>
    <row r="10" spans="2:25" x14ac:dyDescent="0.25">
      <c r="B10" s="199">
        <f>65/4*1000000</f>
        <v>16250000</v>
      </c>
      <c r="C10" s="147">
        <f>206/4*1000000</f>
        <v>51500000</v>
      </c>
      <c r="D10" s="210"/>
      <c r="E10" s="199">
        <f>95/4*1000000</f>
        <v>23750000</v>
      </c>
      <c r="F10" s="147">
        <f>64/4*1000000</f>
        <v>16000000</v>
      </c>
      <c r="G10" s="83"/>
      <c r="H10" s="134"/>
      <c r="I10" s="134"/>
      <c r="J10" s="96"/>
      <c r="P10" s="96"/>
      <c r="Q10" s="224"/>
      <c r="R10" s="144"/>
      <c r="S10" s="165"/>
      <c r="T10" s="165"/>
      <c r="U10" s="165"/>
      <c r="V10" s="165"/>
      <c r="W10" s="99"/>
      <c r="X10" s="99"/>
      <c r="Y10" s="99"/>
    </row>
    <row r="11" spans="2:25" x14ac:dyDescent="0.25">
      <c r="B11" s="199">
        <f>38/4*1000000</f>
        <v>9500000</v>
      </c>
      <c r="C11" s="147">
        <f>158/4*1000000</f>
        <v>39500000</v>
      </c>
      <c r="D11" s="83"/>
      <c r="E11" s="199">
        <f>85/4*1000000</f>
        <v>21250000</v>
      </c>
      <c r="F11" s="147">
        <f>26/4*1000000</f>
        <v>6500000</v>
      </c>
      <c r="G11" s="83"/>
      <c r="H11" s="134"/>
      <c r="I11" s="134"/>
      <c r="J11" s="96"/>
      <c r="P11" s="96"/>
      <c r="Q11" s="223"/>
      <c r="R11" s="143"/>
      <c r="S11" s="165"/>
      <c r="T11" s="165"/>
      <c r="U11" s="165"/>
      <c r="V11" s="165"/>
      <c r="W11" s="99"/>
      <c r="X11" s="99"/>
      <c r="Y11" s="99"/>
    </row>
    <row r="12" spans="2:25" x14ac:dyDescent="0.25">
      <c r="B12" s="199">
        <f>12/4*1000000</f>
        <v>3000000</v>
      </c>
      <c r="C12" s="147">
        <f>181/4*1000000</f>
        <v>45250000</v>
      </c>
      <c r="D12" s="210"/>
      <c r="E12" s="199">
        <f>117/4*1000000</f>
        <v>29250000</v>
      </c>
      <c r="F12" s="147">
        <f>35/4*1000000</f>
        <v>8750000</v>
      </c>
      <c r="G12" s="83"/>
      <c r="H12" s="134"/>
      <c r="I12" s="134"/>
      <c r="J12" s="96"/>
      <c r="P12" s="96"/>
      <c r="Q12" s="223"/>
      <c r="R12" s="143"/>
      <c r="S12" s="165"/>
      <c r="T12" s="165"/>
      <c r="U12" s="165"/>
      <c r="V12" s="165"/>
      <c r="W12" s="99"/>
      <c r="X12" s="99"/>
      <c r="Y12" s="99"/>
    </row>
    <row r="13" spans="2:25" x14ac:dyDescent="0.25">
      <c r="B13" s="199">
        <f>62/4*1000000</f>
        <v>15500000</v>
      </c>
      <c r="C13" s="147">
        <f>135/4*1000000</f>
        <v>33750000</v>
      </c>
      <c r="D13" s="210"/>
      <c r="E13" s="199">
        <f>95/4*1000000</f>
        <v>23750000</v>
      </c>
      <c r="F13" s="147">
        <f>91/4*1000000</f>
        <v>22750000</v>
      </c>
      <c r="G13" s="83"/>
      <c r="H13" s="134"/>
      <c r="I13" s="134"/>
      <c r="J13" s="96"/>
      <c r="P13" s="96"/>
      <c r="Q13" s="223"/>
      <c r="R13" s="143"/>
      <c r="S13" s="165"/>
      <c r="T13" s="165"/>
      <c r="U13" s="165"/>
      <c r="V13" s="165"/>
      <c r="W13" s="99"/>
      <c r="X13" s="99"/>
      <c r="Y13" s="99"/>
    </row>
    <row r="14" spans="2:25" x14ac:dyDescent="0.25">
      <c r="B14" s="199">
        <f>70/4*1000000</f>
        <v>17500000</v>
      </c>
      <c r="C14" s="147">
        <f>110/4*1000000</f>
        <v>27500000</v>
      </c>
      <c r="D14" s="210"/>
      <c r="E14" s="199">
        <f>78/4*1000000</f>
        <v>19500000</v>
      </c>
      <c r="F14" s="147">
        <f>29/4*1000000</f>
        <v>7250000</v>
      </c>
      <c r="G14" s="83"/>
      <c r="H14" s="134"/>
      <c r="I14" s="134"/>
      <c r="J14" s="96"/>
      <c r="P14" s="96"/>
      <c r="Q14" s="223"/>
      <c r="R14" s="143"/>
      <c r="S14" s="165"/>
      <c r="T14" s="165"/>
      <c r="U14" s="165"/>
      <c r="V14" s="165"/>
      <c r="W14" s="99"/>
      <c r="X14" s="99"/>
      <c r="Y14" s="99"/>
    </row>
    <row r="15" spans="2:25" x14ac:dyDescent="0.25">
      <c r="B15" s="199">
        <f>40/4*1000000</f>
        <v>10000000</v>
      </c>
      <c r="C15" s="147">
        <f>47/4*1000000</f>
        <v>11750000</v>
      </c>
      <c r="D15" s="210"/>
      <c r="E15" s="199">
        <f>135/4*1000000</f>
        <v>33750000</v>
      </c>
      <c r="F15" s="147">
        <f>71/4*1000000</f>
        <v>17750000</v>
      </c>
      <c r="G15" s="83"/>
      <c r="H15" s="134"/>
      <c r="I15" s="134"/>
      <c r="J15" s="96"/>
      <c r="P15" s="96"/>
      <c r="Q15" s="223"/>
      <c r="R15" s="143"/>
      <c r="S15" s="165"/>
      <c r="T15" s="165"/>
      <c r="U15" s="165"/>
      <c r="V15" s="165"/>
      <c r="W15" s="99"/>
      <c r="X15" s="99"/>
      <c r="Y15" s="99"/>
    </row>
    <row r="16" spans="2:25" x14ac:dyDescent="0.25">
      <c r="B16" s="199">
        <f>82/4*1000000</f>
        <v>20500000</v>
      </c>
      <c r="C16" s="147">
        <f>84/4*1000000</f>
        <v>21000000</v>
      </c>
      <c r="D16" s="83"/>
      <c r="E16" s="199">
        <f>113/4*1000000</f>
        <v>28250000</v>
      </c>
      <c r="F16" s="147">
        <f>29/4*1000000</f>
        <v>7250000</v>
      </c>
      <c r="G16" s="83"/>
      <c r="H16" s="134"/>
      <c r="I16" s="134"/>
      <c r="J16" s="96"/>
      <c r="P16" s="96"/>
      <c r="Q16" s="223"/>
      <c r="R16" s="143"/>
      <c r="S16" s="165"/>
      <c r="T16" s="165"/>
      <c r="U16" s="165"/>
      <c r="V16" s="165"/>
      <c r="W16" s="99"/>
      <c r="X16" s="99"/>
      <c r="Y16" s="99"/>
    </row>
    <row r="17" spans="2:25" x14ac:dyDescent="0.25">
      <c r="B17" s="199">
        <f>119/4*1000000</f>
        <v>29750000</v>
      </c>
      <c r="C17" s="226">
        <f>142/4*1000000</f>
        <v>35500000</v>
      </c>
      <c r="D17" s="210"/>
      <c r="E17" s="199">
        <f>131/4*1000000</f>
        <v>32750000</v>
      </c>
      <c r="F17" s="147">
        <f>55/4*1000000</f>
        <v>13750000</v>
      </c>
      <c r="G17" s="83"/>
      <c r="H17" s="134"/>
      <c r="I17" s="134"/>
      <c r="J17" s="96"/>
      <c r="P17" s="96"/>
      <c r="Q17" s="223"/>
      <c r="R17" s="143"/>
      <c r="S17" s="165"/>
      <c r="T17" s="165"/>
      <c r="U17" s="165"/>
      <c r="V17" s="165"/>
      <c r="W17" s="99"/>
      <c r="X17" s="99"/>
      <c r="Y17" s="99"/>
    </row>
    <row r="18" spans="2:25" x14ac:dyDescent="0.25">
      <c r="B18" s="199">
        <f>54/4*1000000</f>
        <v>13500000</v>
      </c>
      <c r="C18" s="226">
        <f>125/4*1000000</f>
        <v>31250000</v>
      </c>
      <c r="D18" s="83"/>
      <c r="E18" s="199">
        <f>91/4*1000000</f>
        <v>22750000</v>
      </c>
      <c r="F18" s="147">
        <f>45/4*1000000</f>
        <v>11250000</v>
      </c>
      <c r="G18" s="83"/>
      <c r="H18" s="134"/>
      <c r="I18" s="134"/>
      <c r="J18" s="96"/>
      <c r="P18" s="96"/>
      <c r="Q18" s="224"/>
      <c r="R18" s="144"/>
      <c r="S18" s="165"/>
      <c r="T18" s="165"/>
      <c r="U18" s="165"/>
      <c r="V18" s="165"/>
      <c r="W18" s="99"/>
      <c r="X18" s="99"/>
      <c r="Y18" s="99"/>
    </row>
    <row r="19" spans="2:25" x14ac:dyDescent="0.25">
      <c r="B19" s="199">
        <f>62/4*1000000</f>
        <v>15500000</v>
      </c>
      <c r="C19" s="226">
        <f>120/4*1000000</f>
        <v>30000000</v>
      </c>
      <c r="D19" s="210"/>
      <c r="E19" s="199">
        <f>107/4*1000000</f>
        <v>26750000</v>
      </c>
      <c r="F19" s="147">
        <f>36/4*1000000</f>
        <v>9000000</v>
      </c>
      <c r="G19" s="242"/>
      <c r="H19" s="134"/>
      <c r="I19" s="134"/>
      <c r="J19" s="96"/>
      <c r="P19" s="96"/>
      <c r="Q19" s="223"/>
      <c r="R19" s="143"/>
      <c r="S19" s="165"/>
      <c r="T19" s="165"/>
      <c r="U19" s="165"/>
      <c r="V19" s="165"/>
      <c r="W19" s="99"/>
      <c r="X19" s="99"/>
      <c r="Y19" s="99"/>
    </row>
    <row r="20" spans="2:25" x14ac:dyDescent="0.25">
      <c r="B20" s="199">
        <f>92/4*1000000</f>
        <v>23000000</v>
      </c>
      <c r="C20" s="226">
        <f>128/4*1000000</f>
        <v>32000000</v>
      </c>
      <c r="D20" s="83"/>
      <c r="E20" s="229">
        <f>136/4*10000000</f>
        <v>340000000</v>
      </c>
      <c r="F20" s="147">
        <f>48/4*1000000</f>
        <v>12000000</v>
      </c>
      <c r="G20" s="83"/>
      <c r="H20" s="134"/>
      <c r="I20" s="134"/>
      <c r="J20" s="96"/>
      <c r="P20" s="96"/>
      <c r="Q20" s="223"/>
      <c r="R20" s="143"/>
      <c r="S20" s="165"/>
      <c r="T20" s="165"/>
      <c r="U20" s="165"/>
      <c r="V20" s="165"/>
      <c r="W20" s="99"/>
      <c r="X20" s="99"/>
      <c r="Y20" s="99"/>
    </row>
    <row r="21" spans="2:25" x14ac:dyDescent="0.25">
      <c r="B21" s="199">
        <f>73/4*1000000</f>
        <v>18250000</v>
      </c>
      <c r="C21" s="226">
        <f>152/4*1000000</f>
        <v>38000000</v>
      </c>
      <c r="D21" s="210"/>
      <c r="E21" s="229">
        <f>115/4*1000000</f>
        <v>28750000</v>
      </c>
      <c r="F21" s="147">
        <f>45/4*1000000</f>
        <v>11250000</v>
      </c>
      <c r="G21" s="83"/>
      <c r="H21" s="134"/>
      <c r="I21" s="134"/>
      <c r="J21" s="96"/>
      <c r="P21" s="96"/>
      <c r="Q21" s="223"/>
      <c r="R21" s="143"/>
      <c r="S21" s="165"/>
      <c r="T21" s="165"/>
      <c r="U21" s="165"/>
      <c r="V21" s="165"/>
      <c r="W21" s="99"/>
      <c r="X21" s="99"/>
      <c r="Y21" s="99"/>
    </row>
    <row r="22" spans="2:25" x14ac:dyDescent="0.25">
      <c r="B22" s="199">
        <f>80/4*1000000</f>
        <v>20000000</v>
      </c>
      <c r="C22" s="226">
        <f>139/4*1000000</f>
        <v>34750000</v>
      </c>
      <c r="D22" s="210"/>
      <c r="E22" s="229">
        <f>102/4*1000000</f>
        <v>25500000</v>
      </c>
      <c r="F22" s="147">
        <f>29/4*1000000</f>
        <v>7250000</v>
      </c>
      <c r="G22" s="83"/>
      <c r="H22" s="134"/>
      <c r="I22" s="134"/>
      <c r="J22" s="96"/>
      <c r="P22" s="96"/>
      <c r="Q22" s="223"/>
      <c r="R22" s="143"/>
      <c r="S22" s="165"/>
      <c r="T22" s="165"/>
      <c r="U22" s="165"/>
      <c r="V22" s="165"/>
      <c r="W22" s="99"/>
      <c r="X22" s="99"/>
      <c r="Y22" s="99"/>
    </row>
    <row r="23" spans="2:25" x14ac:dyDescent="0.25">
      <c r="B23" s="205">
        <f>57/4*1000000</f>
        <v>14250000</v>
      </c>
      <c r="C23" s="227">
        <f>166/4*1000000</f>
        <v>41500000</v>
      </c>
      <c r="D23" s="210"/>
      <c r="E23" s="230">
        <f>117/4*1000000</f>
        <v>29250000</v>
      </c>
      <c r="F23" s="149">
        <f>45/4*1000000</f>
        <v>11250000</v>
      </c>
      <c r="G23" s="83"/>
      <c r="H23" s="246"/>
      <c r="I23" s="134"/>
      <c r="J23" s="96"/>
      <c r="P23" s="96"/>
      <c r="Q23" s="223"/>
      <c r="R23" s="143"/>
      <c r="S23" s="165"/>
      <c r="T23" s="165"/>
      <c r="U23" s="165"/>
      <c r="V23" s="165"/>
      <c r="W23" s="99"/>
      <c r="X23" s="99"/>
      <c r="Y23" s="99"/>
    </row>
    <row r="24" spans="2:25" x14ac:dyDescent="0.25">
      <c r="B24" s="165"/>
      <c r="C24" s="225"/>
      <c r="D24" s="83"/>
      <c r="E24" s="83"/>
      <c r="F24" s="83"/>
      <c r="G24" s="83"/>
      <c r="H24" s="242"/>
      <c r="I24" s="242"/>
      <c r="J24" s="96"/>
      <c r="K24" s="35"/>
      <c r="L24" s="25"/>
      <c r="P24" s="96"/>
      <c r="Q24" s="96"/>
      <c r="R24" s="96"/>
      <c r="S24" s="98"/>
      <c r="T24" s="99"/>
      <c r="U24" s="99"/>
      <c r="V24" s="99"/>
      <c r="W24" s="99"/>
      <c r="X24" s="99"/>
      <c r="Y24" s="99"/>
    </row>
    <row r="25" spans="2:25" x14ac:dyDescent="0.25">
      <c r="B25" s="96"/>
      <c r="C25" s="96"/>
      <c r="D25" s="210"/>
      <c r="E25" s="210"/>
      <c r="F25" s="83"/>
      <c r="G25" s="83"/>
      <c r="H25" s="96"/>
      <c r="I25" s="96"/>
      <c r="J25" s="96"/>
      <c r="K25" s="35"/>
      <c r="L25" s="25"/>
      <c r="P25" s="96"/>
      <c r="Q25" s="96"/>
      <c r="R25" s="96"/>
      <c r="S25" s="98"/>
      <c r="T25" s="99"/>
      <c r="U25" s="99"/>
      <c r="V25" s="99"/>
      <c r="W25" s="99"/>
      <c r="X25" s="99"/>
      <c r="Y25" s="99"/>
    </row>
    <row r="26" spans="2:25" x14ac:dyDescent="0.25">
      <c r="B26" s="96"/>
      <c r="C26" s="96"/>
      <c r="D26" s="210"/>
      <c r="E26" s="210"/>
      <c r="F26" s="83"/>
      <c r="G26" s="83"/>
      <c r="H26" s="96"/>
      <c r="I26" s="96"/>
      <c r="J26" s="96"/>
      <c r="S26" s="98"/>
      <c r="T26" s="99"/>
      <c r="U26" s="99"/>
      <c r="V26" s="99"/>
      <c r="W26" s="99"/>
      <c r="X26" s="99"/>
      <c r="Y26" s="99"/>
    </row>
    <row r="27" spans="2:25" x14ac:dyDescent="0.25">
      <c r="B27" s="96"/>
      <c r="C27" s="96"/>
      <c r="D27" s="210"/>
      <c r="E27" s="210"/>
      <c r="F27" s="83"/>
      <c r="G27" s="83"/>
      <c r="H27" s="96"/>
      <c r="I27" s="96"/>
      <c r="J27" s="96"/>
      <c r="S27" s="98"/>
      <c r="T27" s="99"/>
      <c r="U27" s="99"/>
      <c r="V27" s="99"/>
      <c r="W27" s="99"/>
      <c r="X27" s="99"/>
      <c r="Y27" s="99"/>
    </row>
    <row r="28" spans="2:25" x14ac:dyDescent="0.25">
      <c r="B28" s="165"/>
      <c r="C28" s="96"/>
      <c r="D28" s="83"/>
      <c r="E28" s="210"/>
      <c r="F28" s="83"/>
      <c r="G28" s="83"/>
      <c r="H28" s="165"/>
      <c r="I28" s="96"/>
      <c r="J28" s="96"/>
      <c r="S28" s="98"/>
      <c r="T28" s="99"/>
      <c r="U28" s="99"/>
      <c r="V28" s="99"/>
      <c r="W28" s="99"/>
      <c r="X28" s="99"/>
      <c r="Y28" s="99"/>
    </row>
    <row r="29" spans="2:25" x14ac:dyDescent="0.25">
      <c r="B29" s="96"/>
      <c r="C29" s="225"/>
      <c r="D29" s="210"/>
      <c r="E29" s="83"/>
      <c r="F29" s="83"/>
      <c r="G29" s="83"/>
      <c r="H29" s="96"/>
      <c r="I29" s="165"/>
      <c r="J29" s="96"/>
      <c r="S29" s="98"/>
      <c r="T29" s="99"/>
      <c r="U29" s="99"/>
      <c r="V29" s="99"/>
      <c r="W29" s="99"/>
      <c r="X29" s="99"/>
      <c r="Y29" s="99"/>
    </row>
    <row r="30" spans="2:25" x14ac:dyDescent="0.25">
      <c r="B30" s="165"/>
      <c r="C30" s="96"/>
      <c r="D30" s="83"/>
      <c r="E30" s="210"/>
      <c r="F30" s="83"/>
      <c r="G30" s="83"/>
      <c r="H30" s="165"/>
      <c r="I30" s="96"/>
      <c r="J30" s="96"/>
      <c r="S30" s="98"/>
      <c r="T30" s="99"/>
      <c r="U30" s="99"/>
      <c r="V30" s="99"/>
      <c r="W30" s="99"/>
      <c r="X30" s="99"/>
      <c r="Y30" s="99"/>
    </row>
    <row r="31" spans="2:25" x14ac:dyDescent="0.25">
      <c r="B31" s="96"/>
      <c r="C31" s="96"/>
      <c r="D31" s="210"/>
      <c r="E31" s="210"/>
      <c r="F31" s="83"/>
      <c r="G31" s="83"/>
      <c r="H31" s="96"/>
      <c r="I31" s="96"/>
      <c r="J31" s="96"/>
      <c r="S31" s="98"/>
      <c r="T31" s="99"/>
      <c r="U31" s="99"/>
      <c r="V31" s="99"/>
      <c r="W31" s="99"/>
      <c r="X31" s="99"/>
      <c r="Y31" s="99"/>
    </row>
    <row r="32" spans="2:25" x14ac:dyDescent="0.25">
      <c r="B32" s="165"/>
      <c r="C32" s="225"/>
      <c r="D32" s="83"/>
      <c r="E32" s="83"/>
      <c r="F32" s="83"/>
      <c r="G32" s="83"/>
      <c r="H32" s="165"/>
      <c r="I32" s="165"/>
      <c r="J32" s="96"/>
      <c r="S32" s="293"/>
      <c r="T32" s="293"/>
      <c r="U32" s="293"/>
      <c r="V32" s="293"/>
      <c r="W32" s="293"/>
      <c r="X32" s="293"/>
      <c r="Y32" s="293"/>
    </row>
    <row r="33" spans="1:25" x14ac:dyDescent="0.25">
      <c r="D33" s="210"/>
      <c r="E33" s="210"/>
      <c r="F33" s="83"/>
      <c r="G33" s="83"/>
      <c r="S33" s="98"/>
      <c r="T33" s="99"/>
      <c r="U33" s="96"/>
      <c r="V33" s="83"/>
      <c r="W33" s="83"/>
      <c r="X33" s="83"/>
      <c r="Y33" s="96"/>
    </row>
    <row r="34" spans="1:25" x14ac:dyDescent="0.25">
      <c r="D34" s="83"/>
      <c r="E34" s="83"/>
      <c r="F34" s="83"/>
      <c r="G34" s="83"/>
      <c r="S34" s="98"/>
      <c r="T34" s="99"/>
      <c r="U34" s="96"/>
      <c r="V34" s="83"/>
      <c r="W34" s="83"/>
      <c r="X34" s="83"/>
      <c r="Y34" s="96"/>
    </row>
    <row r="35" spans="1:25" x14ac:dyDescent="0.25">
      <c r="D35" s="8"/>
      <c r="E35" s="8"/>
      <c r="F35" s="8"/>
      <c r="G35" s="8"/>
      <c r="S35" s="98"/>
      <c r="T35" s="99"/>
      <c r="U35" s="96"/>
      <c r="V35" s="83"/>
      <c r="W35" s="83"/>
      <c r="X35" s="83"/>
      <c r="Y35" s="96"/>
    </row>
    <row r="36" spans="1:25" x14ac:dyDescent="0.25">
      <c r="D36" s="8"/>
      <c r="E36" s="8"/>
      <c r="F36" s="8"/>
      <c r="G36" s="8"/>
      <c r="S36" s="98"/>
      <c r="T36" s="99"/>
      <c r="U36" s="96"/>
      <c r="V36" s="83"/>
      <c r="W36" s="83"/>
      <c r="X36" s="83"/>
      <c r="Y36" s="96"/>
    </row>
    <row r="37" spans="1:25" x14ac:dyDescent="0.25">
      <c r="D37" s="275"/>
      <c r="E37" s="275"/>
      <c r="F37" s="83"/>
      <c r="G37" s="83"/>
      <c r="S37" s="98"/>
      <c r="T37" s="99"/>
      <c r="U37" s="96"/>
      <c r="V37" s="83"/>
      <c r="W37" s="83"/>
      <c r="X37" s="83"/>
      <c r="Y37" s="96"/>
    </row>
    <row r="38" spans="1:25" x14ac:dyDescent="0.25">
      <c r="D38" s="165"/>
      <c r="E38" s="165"/>
      <c r="F38" s="83"/>
      <c r="G38" s="83"/>
      <c r="S38" s="98"/>
      <c r="T38" s="99"/>
      <c r="U38" s="96"/>
      <c r="V38" s="83"/>
      <c r="W38" s="83"/>
      <c r="X38" s="83"/>
      <c r="Y38" s="96"/>
    </row>
    <row r="39" spans="1:25" x14ac:dyDescent="0.25">
      <c r="A39" s="96"/>
      <c r="D39" s="210"/>
      <c r="E39" s="210"/>
      <c r="F39" s="83"/>
      <c r="G39" s="83"/>
      <c r="S39" s="293"/>
      <c r="T39" s="293"/>
      <c r="U39" s="293"/>
      <c r="V39" s="293"/>
      <c r="W39" s="293"/>
      <c r="X39" s="293"/>
      <c r="Y39" s="293"/>
    </row>
    <row r="40" spans="1:25" x14ac:dyDescent="0.25">
      <c r="A40" s="96"/>
      <c r="D40" s="83"/>
      <c r="E40" s="210"/>
      <c r="F40" s="83"/>
      <c r="G40" s="83"/>
      <c r="S40" s="98"/>
      <c r="T40" s="99"/>
      <c r="U40" s="96"/>
      <c r="V40" s="83"/>
      <c r="W40" s="83"/>
      <c r="X40" s="83"/>
      <c r="Y40" s="96"/>
    </row>
    <row r="41" spans="1:25" x14ac:dyDescent="0.25">
      <c r="A41" s="96"/>
      <c r="D41" s="210"/>
      <c r="E41" s="83"/>
      <c r="F41" s="83"/>
      <c r="G41" s="96"/>
      <c r="S41" s="98"/>
      <c r="T41" s="99"/>
      <c r="U41" s="96"/>
      <c r="V41" s="83"/>
      <c r="W41" s="83"/>
      <c r="X41" s="83"/>
      <c r="Y41" s="96"/>
    </row>
    <row r="42" spans="1:25" x14ac:dyDescent="0.25">
      <c r="A42" s="96"/>
      <c r="D42" s="210"/>
      <c r="E42" s="210"/>
      <c r="F42" s="83"/>
      <c r="G42" s="96"/>
      <c r="S42" s="98"/>
      <c r="T42" s="99"/>
      <c r="U42" s="96"/>
      <c r="V42" s="83"/>
      <c r="W42" s="83"/>
      <c r="X42" s="83"/>
      <c r="Y42" s="96"/>
    </row>
    <row r="43" spans="1:25" x14ac:dyDescent="0.25">
      <c r="A43" s="96"/>
      <c r="D43" s="210"/>
      <c r="E43" s="210"/>
      <c r="F43" s="83"/>
      <c r="G43" s="96"/>
      <c r="S43" s="98"/>
      <c r="T43" s="99"/>
      <c r="U43" s="96"/>
      <c r="V43" s="83"/>
      <c r="W43" s="83"/>
      <c r="X43" s="83"/>
      <c r="Y43" s="96"/>
    </row>
    <row r="44" spans="1:25" x14ac:dyDescent="0.25">
      <c r="A44" s="96"/>
      <c r="D44" s="83"/>
      <c r="E44" s="83"/>
      <c r="F44" s="83"/>
      <c r="G44" s="96"/>
      <c r="S44" s="98"/>
      <c r="T44" s="99"/>
      <c r="U44" s="96"/>
      <c r="V44" s="83"/>
      <c r="W44" s="83"/>
      <c r="X44" s="83"/>
      <c r="Y44" s="96"/>
    </row>
    <row r="45" spans="1:25" x14ac:dyDescent="0.25">
      <c r="A45" s="96"/>
      <c r="D45" s="210"/>
      <c r="E45" s="210"/>
      <c r="F45" s="83"/>
      <c r="G45" s="96"/>
      <c r="S45" s="98"/>
      <c r="T45" s="99"/>
      <c r="U45" s="96"/>
      <c r="V45" s="83"/>
      <c r="W45" s="83"/>
      <c r="X45" s="83"/>
      <c r="Y45" s="96"/>
    </row>
    <row r="46" spans="1:25" x14ac:dyDescent="0.25">
      <c r="A46" s="96"/>
      <c r="D46" s="83"/>
      <c r="E46" s="83"/>
      <c r="F46" s="96"/>
      <c r="G46" s="96"/>
      <c r="S46" s="98"/>
      <c r="T46" s="99"/>
      <c r="U46" s="96"/>
      <c r="V46" s="96"/>
      <c r="W46" s="96"/>
      <c r="X46" s="96"/>
      <c r="Y46" s="96"/>
    </row>
    <row r="47" spans="1:25" x14ac:dyDescent="0.25">
      <c r="A47" s="96"/>
      <c r="D47" s="210"/>
      <c r="E47" s="210"/>
      <c r="F47" s="96"/>
      <c r="G47" s="96"/>
      <c r="S47" s="98"/>
      <c r="T47" s="99"/>
      <c r="U47" s="96"/>
      <c r="V47" s="96"/>
      <c r="W47" s="96"/>
      <c r="X47" s="96"/>
      <c r="Y47" s="96"/>
    </row>
    <row r="48" spans="1:25" x14ac:dyDescent="0.25">
      <c r="A48" s="96"/>
      <c r="D48" s="210"/>
      <c r="E48" s="83"/>
      <c r="F48" s="96"/>
      <c r="G48" s="96"/>
      <c r="S48" s="293"/>
      <c r="T48" s="293"/>
      <c r="U48" s="293"/>
      <c r="V48" s="293"/>
      <c r="W48" s="293"/>
      <c r="X48" s="293"/>
      <c r="Y48" s="293"/>
    </row>
    <row r="49" spans="1:25" x14ac:dyDescent="0.25">
      <c r="A49" s="96"/>
      <c r="D49" s="210"/>
      <c r="E49" s="210"/>
      <c r="F49" s="83"/>
      <c r="G49" s="96"/>
      <c r="S49" s="98"/>
      <c r="T49" s="99"/>
      <c r="U49" s="96"/>
      <c r="V49" s="96"/>
      <c r="W49" s="96"/>
      <c r="X49" s="96"/>
      <c r="Y49" s="96"/>
    </row>
    <row r="50" spans="1:25" x14ac:dyDescent="0.25">
      <c r="A50" s="96"/>
      <c r="D50" s="210"/>
      <c r="E50" s="83"/>
      <c r="F50" s="83"/>
      <c r="G50" s="96"/>
      <c r="S50" s="98"/>
      <c r="T50" s="99"/>
      <c r="U50" s="96"/>
      <c r="V50" s="96"/>
      <c r="W50" s="96"/>
      <c r="X50" s="96"/>
      <c r="Y50" s="96"/>
    </row>
    <row r="51" spans="1:25" x14ac:dyDescent="0.25">
      <c r="A51" s="96"/>
      <c r="D51" s="83"/>
      <c r="E51" s="210"/>
      <c r="F51" s="96"/>
      <c r="G51" s="96"/>
      <c r="S51" s="98"/>
      <c r="T51" s="99"/>
      <c r="U51" s="96"/>
      <c r="V51" s="96"/>
      <c r="W51" s="96"/>
      <c r="X51" s="96"/>
      <c r="Y51" s="96"/>
    </row>
    <row r="52" spans="1:25" x14ac:dyDescent="0.25">
      <c r="A52" s="96"/>
      <c r="D52" s="210"/>
      <c r="E52" s="210"/>
      <c r="F52" s="96"/>
      <c r="G52" s="96"/>
      <c r="S52" s="98"/>
      <c r="T52" s="99"/>
      <c r="U52" s="96"/>
      <c r="V52" s="96"/>
      <c r="W52" s="96"/>
      <c r="X52" s="96"/>
      <c r="Y52" s="96"/>
    </row>
    <row r="53" spans="1:25" x14ac:dyDescent="0.25">
      <c r="A53" s="96"/>
      <c r="D53" s="83"/>
      <c r="E53" s="210"/>
      <c r="F53" s="96"/>
      <c r="G53" s="96"/>
      <c r="S53" s="98"/>
      <c r="T53" s="99"/>
      <c r="U53" s="96"/>
      <c r="V53" s="96"/>
      <c r="W53" s="96"/>
      <c r="X53" s="96"/>
      <c r="Y53" s="96"/>
    </row>
    <row r="54" spans="1:25" x14ac:dyDescent="0.25">
      <c r="A54" s="96"/>
      <c r="D54" s="210"/>
      <c r="E54" s="210"/>
      <c r="F54" s="96"/>
      <c r="G54" s="96"/>
      <c r="S54" s="98"/>
      <c r="T54" s="99"/>
      <c r="U54" s="96"/>
      <c r="V54" s="96"/>
      <c r="W54" s="96"/>
      <c r="X54" s="96"/>
      <c r="Y54" s="96"/>
    </row>
    <row r="55" spans="1:25" x14ac:dyDescent="0.25">
      <c r="A55" s="96"/>
      <c r="D55" s="83"/>
      <c r="E55" s="83"/>
      <c r="F55" s="96"/>
      <c r="G55" s="96"/>
      <c r="S55" s="98"/>
      <c r="T55" s="99"/>
      <c r="U55" s="96"/>
      <c r="V55" s="96"/>
      <c r="W55" s="96"/>
      <c r="X55" s="96"/>
      <c r="Y55" s="96"/>
    </row>
    <row r="56" spans="1:25" x14ac:dyDescent="0.25">
      <c r="A56" s="96"/>
      <c r="D56" s="210"/>
      <c r="E56" s="210"/>
      <c r="F56" s="96"/>
      <c r="G56" s="96"/>
      <c r="S56" s="98"/>
      <c r="T56" s="99"/>
      <c r="U56" s="96"/>
      <c r="V56" s="96"/>
      <c r="W56" s="96"/>
      <c r="X56" s="96"/>
      <c r="Y56" s="96"/>
    </row>
    <row r="57" spans="1:25" x14ac:dyDescent="0.25">
      <c r="A57" s="96"/>
      <c r="D57" s="210"/>
      <c r="E57" s="83"/>
      <c r="F57" s="96"/>
      <c r="G57" s="96"/>
      <c r="S57" s="96"/>
      <c r="T57" s="96"/>
      <c r="U57" s="96"/>
      <c r="V57" s="96"/>
      <c r="W57" s="96"/>
      <c r="X57" s="96"/>
      <c r="Y57" s="96"/>
    </row>
    <row r="58" spans="1:25" x14ac:dyDescent="0.25">
      <c r="A58" s="96"/>
      <c r="D58" s="210"/>
      <c r="E58" s="210"/>
      <c r="F58" s="96"/>
      <c r="G58" s="96"/>
      <c r="S58" s="96"/>
      <c r="T58" s="96"/>
      <c r="U58" s="96"/>
      <c r="V58" s="96"/>
      <c r="W58" s="96"/>
      <c r="X58" s="96"/>
      <c r="Y58" s="96"/>
    </row>
    <row r="59" spans="1:25" x14ac:dyDescent="0.25">
      <c r="A59" s="96"/>
      <c r="B59" s="83"/>
      <c r="C59" s="165"/>
      <c r="D59" s="83"/>
      <c r="E59" s="83"/>
      <c r="F59" s="83"/>
      <c r="G59" s="96"/>
      <c r="S59" s="96"/>
      <c r="T59" s="96"/>
      <c r="U59" s="96"/>
      <c r="V59" s="96"/>
      <c r="W59" s="96"/>
      <c r="X59" s="96"/>
      <c r="Y59" s="96"/>
    </row>
    <row r="60" spans="1:25" x14ac:dyDescent="0.25">
      <c r="A60" s="96"/>
      <c r="B60" s="96"/>
      <c r="C60" s="96"/>
      <c r="D60" s="210"/>
      <c r="E60" s="210"/>
      <c r="F60" s="83"/>
      <c r="G60" s="96"/>
    </row>
    <row r="61" spans="1:25" x14ac:dyDescent="0.25">
      <c r="A61" s="96"/>
      <c r="B61" s="96"/>
      <c r="C61" s="96"/>
      <c r="D61" s="210"/>
      <c r="E61" s="210"/>
      <c r="F61" s="96"/>
      <c r="G61" s="96"/>
    </row>
    <row r="62" spans="1:25" x14ac:dyDescent="0.25">
      <c r="A62" s="96"/>
      <c r="B62" s="96"/>
      <c r="C62" s="96"/>
      <c r="D62" s="210"/>
      <c r="E62" s="210"/>
      <c r="F62" s="96"/>
      <c r="G62" s="96"/>
    </row>
    <row r="63" spans="1:25" x14ac:dyDescent="0.25">
      <c r="A63" s="96"/>
      <c r="B63" s="228"/>
      <c r="C63" s="96"/>
      <c r="D63" s="83"/>
      <c r="E63" s="210"/>
      <c r="F63" s="96"/>
      <c r="G63" s="96"/>
    </row>
    <row r="64" spans="1:25" x14ac:dyDescent="0.25">
      <c r="A64" s="96"/>
      <c r="B64" s="96"/>
      <c r="C64" s="165"/>
      <c r="D64" s="210"/>
      <c r="E64" s="83"/>
      <c r="F64" s="96"/>
      <c r="G64" s="96"/>
    </row>
    <row r="65" spans="1:8" x14ac:dyDescent="0.25">
      <c r="A65" s="96"/>
      <c r="B65" s="228"/>
      <c r="C65" s="96"/>
      <c r="D65" s="83"/>
      <c r="E65" s="210"/>
      <c r="F65" s="96"/>
      <c r="G65" s="96"/>
    </row>
    <row r="66" spans="1:8" x14ac:dyDescent="0.25">
      <c r="A66" s="96"/>
      <c r="B66" s="96"/>
      <c r="C66" s="96"/>
      <c r="D66" s="210"/>
      <c r="E66" s="210"/>
      <c r="F66" s="96"/>
      <c r="G66" s="96"/>
    </row>
    <row r="67" spans="1:8" x14ac:dyDescent="0.25">
      <c r="A67" s="96"/>
      <c r="B67" s="228"/>
      <c r="C67" s="165"/>
      <c r="D67" s="83"/>
      <c r="E67" s="83"/>
      <c r="F67" s="96"/>
      <c r="G67" s="96"/>
    </row>
    <row r="68" spans="1:8" x14ac:dyDescent="0.25">
      <c r="D68" s="210"/>
      <c r="E68" s="210"/>
      <c r="F68" s="96"/>
      <c r="G68" s="96"/>
    </row>
    <row r="72" spans="1:8" x14ac:dyDescent="0.25">
      <c r="D72" s="115"/>
      <c r="E72" s="115"/>
      <c r="F72" s="96"/>
      <c r="G72" s="96"/>
      <c r="H72" s="96"/>
    </row>
    <row r="73" spans="1:8" x14ac:dyDescent="0.25">
      <c r="D73" s="165"/>
      <c r="E73" s="165"/>
      <c r="F73" s="96"/>
      <c r="G73" s="96"/>
      <c r="H73" s="96"/>
    </row>
    <row r="74" spans="1:8" x14ac:dyDescent="0.25">
      <c r="D74" s="218"/>
      <c r="E74" s="218"/>
      <c r="F74" s="83"/>
      <c r="G74" s="96"/>
      <c r="H74" s="96"/>
    </row>
    <row r="75" spans="1:8" x14ac:dyDescent="0.25">
      <c r="D75" s="96"/>
      <c r="E75" s="218"/>
      <c r="F75" s="83"/>
      <c r="G75" s="96"/>
      <c r="H75" s="96"/>
    </row>
    <row r="76" spans="1:8" x14ac:dyDescent="0.25">
      <c r="D76" s="218"/>
      <c r="E76" s="96"/>
      <c r="F76" s="96"/>
      <c r="G76" s="96"/>
      <c r="H76" s="96"/>
    </row>
    <row r="77" spans="1:8" x14ac:dyDescent="0.25">
      <c r="D77" s="218"/>
      <c r="E77" s="218"/>
      <c r="F77" s="96"/>
      <c r="G77" s="96"/>
      <c r="H77" s="96"/>
    </row>
    <row r="78" spans="1:8" x14ac:dyDescent="0.25">
      <c r="D78" s="218"/>
      <c r="E78" s="218"/>
      <c r="F78" s="96"/>
      <c r="G78" s="96"/>
      <c r="H78" s="96"/>
    </row>
    <row r="79" spans="1:8" x14ac:dyDescent="0.25">
      <c r="D79" s="96"/>
      <c r="E79" s="96"/>
      <c r="F79" s="96"/>
      <c r="G79" s="96"/>
      <c r="H79" s="96"/>
    </row>
    <row r="80" spans="1:8" x14ac:dyDescent="0.25">
      <c r="D80" s="218"/>
      <c r="E80" s="218"/>
      <c r="F80" s="96"/>
      <c r="G80" s="96"/>
      <c r="H80" s="96"/>
    </row>
    <row r="81" spans="4:8" x14ac:dyDescent="0.25">
      <c r="D81" s="96"/>
      <c r="E81" s="96"/>
      <c r="F81" s="96"/>
      <c r="G81" s="96"/>
      <c r="H81" s="96"/>
    </row>
    <row r="82" spans="4:8" x14ac:dyDescent="0.25">
      <c r="D82" s="218"/>
      <c r="E82" s="218"/>
      <c r="F82" s="96"/>
      <c r="G82" s="96"/>
      <c r="H82" s="96"/>
    </row>
    <row r="83" spans="4:8" x14ac:dyDescent="0.25">
      <c r="D83" s="218"/>
      <c r="E83" s="96"/>
      <c r="F83" s="96"/>
      <c r="G83" s="96"/>
      <c r="H83" s="96"/>
    </row>
    <row r="84" spans="4:8" x14ac:dyDescent="0.25">
      <c r="D84" s="218"/>
      <c r="E84" s="218"/>
      <c r="F84" s="83"/>
      <c r="G84" s="96"/>
      <c r="H84" s="96"/>
    </row>
    <row r="85" spans="4:8" x14ac:dyDescent="0.25">
      <c r="D85" s="218"/>
      <c r="E85" s="96"/>
      <c r="F85" s="83"/>
      <c r="G85" s="96"/>
      <c r="H85" s="96"/>
    </row>
    <row r="86" spans="4:8" x14ac:dyDescent="0.25">
      <c r="D86" s="96"/>
      <c r="E86" s="218"/>
      <c r="F86" s="96"/>
      <c r="G86" s="96"/>
      <c r="H86" s="96"/>
    </row>
    <row r="87" spans="4:8" x14ac:dyDescent="0.25">
      <c r="D87" s="218"/>
      <c r="E87" s="218"/>
      <c r="F87" s="96"/>
      <c r="G87" s="96"/>
      <c r="H87" s="96"/>
    </row>
    <row r="88" spans="4:8" x14ac:dyDescent="0.25">
      <c r="D88" s="96"/>
      <c r="E88" s="218"/>
      <c r="F88" s="96"/>
      <c r="G88" s="96"/>
      <c r="H88" s="96"/>
    </row>
    <row r="89" spans="4:8" x14ac:dyDescent="0.25">
      <c r="D89" s="218"/>
      <c r="E89" s="218"/>
      <c r="F89" s="96"/>
      <c r="G89" s="96"/>
      <c r="H89" s="96"/>
    </row>
    <row r="90" spans="4:8" x14ac:dyDescent="0.25">
      <c r="D90" s="96"/>
      <c r="E90" s="96"/>
      <c r="F90" s="96"/>
      <c r="G90" s="96"/>
      <c r="H90" s="96"/>
    </row>
    <row r="91" spans="4:8" x14ac:dyDescent="0.25">
      <c r="D91" s="218"/>
      <c r="E91" s="218"/>
      <c r="F91" s="96"/>
      <c r="G91" s="96"/>
      <c r="H91" s="96"/>
    </row>
    <row r="92" spans="4:8" x14ac:dyDescent="0.25">
      <c r="D92" s="218"/>
      <c r="E92" s="96"/>
      <c r="F92" s="96"/>
      <c r="G92" s="96"/>
      <c r="H92" s="96"/>
    </row>
    <row r="93" spans="4:8" x14ac:dyDescent="0.25">
      <c r="D93" s="218"/>
      <c r="E93" s="218"/>
      <c r="F93" s="96"/>
      <c r="G93" s="96"/>
      <c r="H93" s="96"/>
    </row>
    <row r="94" spans="4:8" x14ac:dyDescent="0.25">
      <c r="D94" s="96"/>
      <c r="E94" s="96"/>
      <c r="F94" s="83"/>
      <c r="G94" s="96"/>
      <c r="H94" s="96"/>
    </row>
    <row r="95" spans="4:8" x14ac:dyDescent="0.25">
      <c r="D95" s="218"/>
      <c r="E95" s="218"/>
      <c r="F95" s="83"/>
      <c r="G95" s="96"/>
      <c r="H95" s="96"/>
    </row>
    <row r="96" spans="4:8" x14ac:dyDescent="0.25">
      <c r="D96" s="218"/>
      <c r="E96" s="218"/>
      <c r="F96" s="96"/>
      <c r="G96" s="96"/>
      <c r="H96" s="96"/>
    </row>
    <row r="97" spans="4:8" x14ac:dyDescent="0.25">
      <c r="D97" s="218"/>
      <c r="E97" s="218"/>
      <c r="F97" s="96"/>
      <c r="G97" s="96"/>
      <c r="H97" s="96"/>
    </row>
    <row r="98" spans="4:8" x14ac:dyDescent="0.25">
      <c r="D98" s="96"/>
      <c r="E98" s="218"/>
      <c r="F98" s="96"/>
      <c r="G98" s="96"/>
      <c r="H98" s="96"/>
    </row>
    <row r="99" spans="4:8" x14ac:dyDescent="0.25">
      <c r="D99" s="218"/>
      <c r="E99" s="96"/>
      <c r="F99" s="96"/>
      <c r="G99" s="96"/>
      <c r="H99" s="96"/>
    </row>
    <row r="100" spans="4:8" x14ac:dyDescent="0.25">
      <c r="D100" s="96"/>
      <c r="E100" s="218"/>
      <c r="F100" s="96"/>
      <c r="G100" s="96"/>
      <c r="H100" s="96"/>
    </row>
    <row r="101" spans="4:8" x14ac:dyDescent="0.25">
      <c r="D101" s="218"/>
      <c r="E101" s="218"/>
      <c r="F101" s="96"/>
      <c r="G101" s="96"/>
      <c r="H101" s="96"/>
    </row>
    <row r="102" spans="4:8" x14ac:dyDescent="0.25">
      <c r="D102" s="96"/>
      <c r="E102" s="96"/>
      <c r="F102" s="96"/>
      <c r="G102" s="96"/>
      <c r="H102" s="96"/>
    </row>
    <row r="103" spans="4:8" x14ac:dyDescent="0.25">
      <c r="D103" s="218"/>
      <c r="E103" s="218"/>
      <c r="F103" s="96"/>
      <c r="G103" s="96"/>
      <c r="H103" s="96"/>
    </row>
  </sheetData>
  <mergeCells count="6">
    <mergeCell ref="B2:C2"/>
    <mergeCell ref="E2:F2"/>
    <mergeCell ref="S48:Y48"/>
    <mergeCell ref="S32:Y32"/>
    <mergeCell ref="D37:E37"/>
    <mergeCell ref="S39:Y3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76F-CD1D-4912-A292-200E36D04DDE}">
  <dimension ref="B1:AL87"/>
  <sheetViews>
    <sheetView topLeftCell="A34" zoomScale="59" zoomScaleNormal="60" workbookViewId="0">
      <selection activeCell="L51" sqref="L51"/>
    </sheetView>
  </sheetViews>
  <sheetFormatPr defaultRowHeight="15" x14ac:dyDescent="0.25"/>
  <cols>
    <col min="2" max="2" width="12.7109375" customWidth="1"/>
    <col min="3" max="3" width="19.5703125" customWidth="1"/>
    <col min="4" max="4" width="17.28515625" customWidth="1"/>
    <col min="5" max="5" width="24.42578125" customWidth="1"/>
    <col min="6" max="6" width="26.42578125" customWidth="1"/>
    <col min="7" max="7" width="23.28515625" customWidth="1"/>
    <col min="8" max="8" width="23.85546875" customWidth="1"/>
    <col min="9" max="9" width="19.7109375" customWidth="1"/>
    <col min="10" max="10" width="17.7109375" customWidth="1"/>
    <col min="13" max="13" width="16.85546875" customWidth="1"/>
    <col min="14" max="14" width="19.85546875" customWidth="1"/>
    <col min="15" max="15" width="18.42578125" customWidth="1"/>
    <col min="16" max="16" width="20" customWidth="1"/>
    <col min="17" max="17" width="24.140625" customWidth="1"/>
    <col min="18" max="18" width="20.42578125" customWidth="1"/>
    <col min="19" max="19" width="21.28515625" customWidth="1"/>
    <col min="20" max="20" width="19.140625" customWidth="1"/>
    <col min="33" max="33" width="20.140625" customWidth="1"/>
  </cols>
  <sheetData>
    <row r="1" spans="2:38" x14ac:dyDescent="0.25">
      <c r="W1" s="119"/>
      <c r="X1" s="119"/>
      <c r="Y1" s="119"/>
      <c r="Z1" s="119"/>
      <c r="AA1" s="119"/>
      <c r="AB1" s="119"/>
      <c r="AC1" s="119"/>
      <c r="AD1" s="119"/>
      <c r="AE1" s="119"/>
      <c r="AF1" s="96"/>
      <c r="AG1" s="96"/>
      <c r="AH1" s="96"/>
      <c r="AI1" s="96"/>
      <c r="AJ1" s="96"/>
      <c r="AK1" s="96"/>
      <c r="AL1" s="96"/>
    </row>
    <row r="2" spans="2:38" x14ac:dyDescent="0.25">
      <c r="B2" s="121" t="s">
        <v>256</v>
      </c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W2" s="96"/>
      <c r="X2" s="95"/>
      <c r="Y2" s="95"/>
      <c r="Z2" s="95"/>
      <c r="AA2" s="95"/>
      <c r="AB2" s="95"/>
      <c r="AC2" s="95"/>
      <c r="AD2" s="95"/>
      <c r="AE2" s="95"/>
      <c r="AF2" s="96"/>
      <c r="AG2" s="96"/>
      <c r="AH2" s="96"/>
      <c r="AI2" s="96"/>
      <c r="AJ2" s="96"/>
      <c r="AK2" s="96"/>
      <c r="AL2" s="96"/>
    </row>
    <row r="3" spans="2:38" x14ac:dyDescent="0.25"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W3" s="98"/>
      <c r="X3" s="99"/>
      <c r="Y3" s="99"/>
      <c r="Z3" s="99"/>
      <c r="AA3" s="99"/>
      <c r="AB3" s="99"/>
      <c r="AC3" s="99"/>
      <c r="AD3" s="99"/>
      <c r="AE3" s="99"/>
      <c r="AF3" s="96"/>
      <c r="AG3" s="96"/>
      <c r="AH3" s="96"/>
      <c r="AI3" s="96"/>
      <c r="AJ3" s="96"/>
      <c r="AK3" s="96"/>
      <c r="AL3" s="96"/>
    </row>
    <row r="4" spans="2:38" x14ac:dyDescent="0.25">
      <c r="B4" s="294" t="s">
        <v>250</v>
      </c>
      <c r="C4" s="295"/>
      <c r="D4" s="295"/>
      <c r="E4" s="295"/>
      <c r="F4" s="295"/>
      <c r="G4" s="295"/>
      <c r="H4" s="295"/>
      <c r="I4" s="296"/>
      <c r="J4" s="90"/>
      <c r="K4" s="90"/>
      <c r="L4" s="90"/>
      <c r="M4" s="158"/>
      <c r="N4" s="158"/>
      <c r="O4" s="158"/>
      <c r="P4" s="158"/>
      <c r="Q4" s="158"/>
      <c r="R4" s="158"/>
      <c r="S4" s="158"/>
      <c r="T4" s="158"/>
      <c r="U4" s="90"/>
      <c r="W4" s="98"/>
      <c r="X4" s="99"/>
      <c r="Y4" s="99"/>
      <c r="Z4" s="99"/>
      <c r="AA4" s="99"/>
      <c r="AB4" s="99"/>
      <c r="AC4" s="99"/>
      <c r="AD4" s="99"/>
      <c r="AE4" s="99"/>
      <c r="AF4" s="96"/>
      <c r="AG4" s="96"/>
      <c r="AH4" s="96"/>
      <c r="AI4" s="96"/>
      <c r="AJ4" s="96"/>
      <c r="AK4" s="96"/>
      <c r="AL4" s="96"/>
    </row>
    <row r="5" spans="2:38" x14ac:dyDescent="0.25">
      <c r="B5" s="3" t="s">
        <v>239</v>
      </c>
      <c r="C5" s="91" t="s">
        <v>252</v>
      </c>
      <c r="D5" s="91" t="s">
        <v>253</v>
      </c>
      <c r="E5" s="91" t="s">
        <v>254</v>
      </c>
      <c r="F5" s="91" t="s">
        <v>88</v>
      </c>
      <c r="G5" s="91" t="s">
        <v>89</v>
      </c>
      <c r="H5" s="91" t="s">
        <v>90</v>
      </c>
      <c r="I5" s="6" t="s">
        <v>255</v>
      </c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90"/>
      <c r="W5" s="98"/>
      <c r="X5" s="99"/>
      <c r="Y5" s="99"/>
      <c r="Z5" s="99"/>
      <c r="AA5" s="99"/>
      <c r="AB5" s="99"/>
      <c r="AC5" s="99"/>
      <c r="AD5" s="99"/>
      <c r="AE5" s="99"/>
      <c r="AF5" s="96"/>
      <c r="AG5" s="96"/>
      <c r="AH5" s="96"/>
      <c r="AI5" s="96"/>
      <c r="AJ5" s="96"/>
      <c r="AK5" s="96"/>
      <c r="AL5" s="96"/>
    </row>
    <row r="6" spans="2:38" x14ac:dyDescent="0.25">
      <c r="B6" s="199">
        <f>38/4*1000000</f>
        <v>9500000</v>
      </c>
      <c r="C6" s="165">
        <f>206/4*1000000</f>
        <v>51500000</v>
      </c>
      <c r="D6" s="165">
        <f>176/4*1000000</f>
        <v>44000000</v>
      </c>
      <c r="E6" s="165">
        <f>164/4*1000000</f>
        <v>41000000</v>
      </c>
      <c r="F6" s="165">
        <f>69/4*1000000</f>
        <v>17250000</v>
      </c>
      <c r="G6" s="165">
        <f>143/4*1000000</f>
        <v>35750000</v>
      </c>
      <c r="H6" s="165">
        <f>111/4*1000000</f>
        <v>27750000</v>
      </c>
      <c r="I6" s="147">
        <f>53/4*1000000</f>
        <v>13250000</v>
      </c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90"/>
      <c r="W6" s="98"/>
      <c r="X6" s="99"/>
      <c r="Y6" s="99"/>
      <c r="Z6" s="99"/>
      <c r="AA6" s="99"/>
      <c r="AB6" s="99"/>
      <c r="AC6" s="99"/>
      <c r="AD6" s="99"/>
      <c r="AE6" s="99"/>
      <c r="AF6" s="96"/>
      <c r="AG6" s="96"/>
      <c r="AH6" s="96"/>
      <c r="AI6" s="96"/>
      <c r="AJ6" s="96"/>
      <c r="AK6" s="96"/>
      <c r="AL6" s="96"/>
    </row>
    <row r="7" spans="2:38" x14ac:dyDescent="0.25">
      <c r="B7" s="199">
        <f>12/4*1000000</f>
        <v>3000000</v>
      </c>
      <c r="C7" s="165">
        <f>93/4*1000000</f>
        <v>23250000</v>
      </c>
      <c r="D7" s="165">
        <f>128/4*1000000</f>
        <v>32000000</v>
      </c>
      <c r="E7" s="165">
        <f>140/4*1000000</f>
        <v>35000000</v>
      </c>
      <c r="F7" s="165">
        <f>45/4*1000000</f>
        <v>11250000</v>
      </c>
      <c r="G7" s="165">
        <f>110/4*1000000</f>
        <v>27500000</v>
      </c>
      <c r="H7" s="165">
        <f>60/4*1000000</f>
        <v>15000000</v>
      </c>
      <c r="I7" s="147">
        <f>57/4*1000000</f>
        <v>14250000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90"/>
      <c r="W7" s="98"/>
      <c r="X7" s="99"/>
      <c r="Y7" s="99"/>
      <c r="Z7" s="99"/>
      <c r="AA7" s="99"/>
      <c r="AB7" s="99"/>
      <c r="AC7" s="99"/>
      <c r="AD7" s="99"/>
      <c r="AE7" s="99"/>
      <c r="AF7" s="96"/>
      <c r="AG7" s="96"/>
      <c r="AH7" s="96"/>
      <c r="AI7" s="96"/>
      <c r="AJ7" s="96"/>
      <c r="AK7" s="96"/>
      <c r="AL7" s="96"/>
    </row>
    <row r="8" spans="2:38" x14ac:dyDescent="0.25">
      <c r="B8" s="199">
        <f>32/4*1000000</f>
        <v>8000000</v>
      </c>
      <c r="C8" s="165">
        <f>158/4*1000000</f>
        <v>39500000</v>
      </c>
      <c r="D8" s="165">
        <f>124/4*1000000</f>
        <v>31000000</v>
      </c>
      <c r="E8" s="165">
        <f>122/4*1000000</f>
        <v>30500000</v>
      </c>
      <c r="F8" s="165">
        <f>56/4*1000000</f>
        <v>14000000</v>
      </c>
      <c r="G8" s="165">
        <f>135/4*1000000</f>
        <v>33750000</v>
      </c>
      <c r="H8" s="165">
        <f>71/4*1000000</f>
        <v>17750000</v>
      </c>
      <c r="I8" s="147">
        <f>44/4*1000000</f>
        <v>11000000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90"/>
      <c r="W8" s="98"/>
      <c r="X8" s="99"/>
      <c r="Y8" s="99"/>
      <c r="Z8" s="99"/>
      <c r="AA8" s="99"/>
      <c r="AB8" s="99"/>
      <c r="AC8" s="99"/>
      <c r="AD8" s="99"/>
      <c r="AE8" s="99"/>
      <c r="AF8" s="96"/>
      <c r="AG8" s="96"/>
      <c r="AH8" s="96"/>
      <c r="AI8" s="96"/>
      <c r="AJ8" s="96"/>
      <c r="AK8" s="96"/>
      <c r="AL8" s="96"/>
    </row>
    <row r="9" spans="2:38" x14ac:dyDescent="0.25">
      <c r="B9" s="199">
        <f>62/4*1000000</f>
        <v>15500000</v>
      </c>
      <c r="C9" s="165">
        <f>181/4*1000000</f>
        <v>45250000</v>
      </c>
      <c r="D9" s="165">
        <f>184/4*1000000</f>
        <v>46000000</v>
      </c>
      <c r="E9" s="165">
        <f>161/4*1000000</f>
        <v>40250000</v>
      </c>
      <c r="F9" s="165">
        <f>37/4*1000000</f>
        <v>9250000</v>
      </c>
      <c r="G9" s="165">
        <f>84/4*1000000</f>
        <v>21000000</v>
      </c>
      <c r="H9" s="165">
        <f>62/4*1000000</f>
        <v>15500000</v>
      </c>
      <c r="I9" s="147">
        <f>60/4*1000000</f>
        <v>15000000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90"/>
      <c r="W9" s="98"/>
      <c r="X9" s="99"/>
      <c r="Y9" s="99"/>
      <c r="Z9" s="99"/>
      <c r="AA9" s="99"/>
      <c r="AB9" s="99"/>
      <c r="AC9" s="99"/>
      <c r="AD9" s="99"/>
      <c r="AE9" s="99"/>
      <c r="AF9" s="96"/>
      <c r="AG9" s="96"/>
      <c r="AH9" s="96"/>
      <c r="AI9" s="96"/>
      <c r="AJ9" s="96"/>
      <c r="AK9" s="96"/>
      <c r="AL9" s="96"/>
    </row>
    <row r="10" spans="2:38" x14ac:dyDescent="0.25">
      <c r="B10" s="199">
        <f>44/4*1000000</f>
        <v>11000000</v>
      </c>
      <c r="C10" s="165">
        <f>135/4*1000000</f>
        <v>33750000</v>
      </c>
      <c r="D10" s="165">
        <f>73/4*1000000</f>
        <v>18250000</v>
      </c>
      <c r="E10" s="165">
        <f>161/4*1000000</f>
        <v>40250000</v>
      </c>
      <c r="F10" s="165">
        <f>49/4*1000000</f>
        <v>12250000</v>
      </c>
      <c r="G10" s="165">
        <f>45/4*1000000</f>
        <v>11250000</v>
      </c>
      <c r="H10" s="165">
        <f>59/4*1000000</f>
        <v>14750000</v>
      </c>
      <c r="I10" s="147">
        <f>86/4*1000000</f>
        <v>21500000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90"/>
      <c r="W10" s="98"/>
      <c r="X10" s="99"/>
      <c r="Y10" s="99"/>
      <c r="Z10" s="99"/>
      <c r="AA10" s="99"/>
      <c r="AB10" s="99"/>
      <c r="AC10" s="99"/>
      <c r="AD10" s="99"/>
      <c r="AE10" s="99"/>
      <c r="AF10" s="96"/>
      <c r="AG10" s="98"/>
      <c r="AH10" s="99"/>
      <c r="AI10" s="99"/>
      <c r="AJ10" s="99"/>
      <c r="AK10" s="99"/>
      <c r="AL10" s="96"/>
    </row>
    <row r="11" spans="2:38" x14ac:dyDescent="0.25">
      <c r="B11" s="199">
        <f>70/4*1000000</f>
        <v>17500000</v>
      </c>
      <c r="C11" s="165">
        <f>110/4*1000000</f>
        <v>27500000</v>
      </c>
      <c r="D11" s="165">
        <f>90/4*1000000</f>
        <v>22500000</v>
      </c>
      <c r="E11" s="165">
        <f>55/4*1000000</f>
        <v>13750000</v>
      </c>
      <c r="F11" s="165">
        <f>145/4*1000000</f>
        <v>36250000</v>
      </c>
      <c r="G11" s="165">
        <f>55/4*1000000</f>
        <v>13750000</v>
      </c>
      <c r="H11" s="165">
        <f>69/4*1000000</f>
        <v>17250000</v>
      </c>
      <c r="I11" s="147">
        <f>87/4*1000000</f>
        <v>21750000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90"/>
      <c r="W11" s="98"/>
      <c r="X11" s="99"/>
      <c r="Y11" s="99"/>
      <c r="Z11" s="99"/>
      <c r="AA11" s="99"/>
      <c r="AB11" s="99"/>
      <c r="AC11" s="99"/>
      <c r="AD11" s="99"/>
      <c r="AE11" s="99"/>
      <c r="AF11" s="96"/>
      <c r="AG11" s="98"/>
      <c r="AH11" s="99"/>
      <c r="AI11" s="99"/>
      <c r="AJ11" s="99"/>
      <c r="AK11" s="99"/>
      <c r="AL11" s="96"/>
    </row>
    <row r="12" spans="2:38" x14ac:dyDescent="0.25">
      <c r="B12" s="199">
        <f>129/4*1000000</f>
        <v>32250000</v>
      </c>
      <c r="C12" s="165">
        <f>54/4*1000000</f>
        <v>13500000</v>
      </c>
      <c r="D12" s="165">
        <f>104/4*1000000</f>
        <v>26000000</v>
      </c>
      <c r="E12" s="165">
        <f>122/4*1000000</f>
        <v>30500000</v>
      </c>
      <c r="F12" s="165">
        <f>34/4*1000000</f>
        <v>8500000</v>
      </c>
      <c r="G12" s="165">
        <f>46/4*1000000</f>
        <v>11500000</v>
      </c>
      <c r="H12" s="165">
        <f>124/4*1000000</f>
        <v>31000000</v>
      </c>
      <c r="I12" s="147">
        <f>56/4*1000000</f>
        <v>14000000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90"/>
      <c r="W12" s="98"/>
      <c r="X12" s="99"/>
      <c r="Y12" s="99"/>
      <c r="Z12" s="99"/>
      <c r="AA12" s="99"/>
      <c r="AB12" s="99"/>
      <c r="AC12" s="99"/>
      <c r="AD12" s="99"/>
      <c r="AE12" s="99"/>
      <c r="AF12" s="96"/>
      <c r="AG12" s="98"/>
      <c r="AH12" s="99"/>
      <c r="AI12" s="99"/>
      <c r="AJ12" s="99"/>
      <c r="AK12" s="99"/>
      <c r="AL12" s="96"/>
    </row>
    <row r="13" spans="2:38" x14ac:dyDescent="0.25">
      <c r="B13" s="199">
        <f>40/4*1000000</f>
        <v>10000000</v>
      </c>
      <c r="C13" s="165">
        <f>47/4*1000000</f>
        <v>11750000</v>
      </c>
      <c r="D13" s="165">
        <f>81/4*1000000</f>
        <v>20250000</v>
      </c>
      <c r="E13" s="165">
        <f>61/4*1000000</f>
        <v>15250000</v>
      </c>
      <c r="F13" s="165">
        <f>32/4*1000000</f>
        <v>8000000</v>
      </c>
      <c r="G13" s="165">
        <f>60/4*1000000</f>
        <v>15000000</v>
      </c>
      <c r="H13" s="165">
        <f>55/4*1000000</f>
        <v>13750000</v>
      </c>
      <c r="I13" s="147">
        <f>51/4*1000000</f>
        <v>12750000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90"/>
      <c r="W13" s="98"/>
      <c r="X13" s="99"/>
      <c r="Y13" s="99"/>
      <c r="Z13" s="99"/>
      <c r="AA13" s="99"/>
      <c r="AB13" s="99"/>
      <c r="AC13" s="99"/>
      <c r="AD13" s="99"/>
      <c r="AE13" s="99"/>
      <c r="AF13" s="96"/>
      <c r="AG13" s="98"/>
      <c r="AH13" s="99"/>
      <c r="AI13" s="99"/>
      <c r="AJ13" s="99"/>
      <c r="AK13" s="99"/>
      <c r="AL13" s="96"/>
    </row>
    <row r="14" spans="2:38" x14ac:dyDescent="0.25">
      <c r="B14" s="199">
        <f>82/4*1000000</f>
        <v>20500000</v>
      </c>
      <c r="C14" s="165">
        <f>42/4*1000000</f>
        <v>10500000</v>
      </c>
      <c r="D14" s="165">
        <f>33/4*1000000</f>
        <v>8250000</v>
      </c>
      <c r="E14" s="165">
        <f>65/4*1000000</f>
        <v>16250000</v>
      </c>
      <c r="F14" s="165">
        <f>33/4*1000000</f>
        <v>8250000</v>
      </c>
      <c r="G14" s="165">
        <f>27/4*1000000</f>
        <v>6750000</v>
      </c>
      <c r="H14" s="165">
        <f>55/4*1000000</f>
        <v>13750000</v>
      </c>
      <c r="I14" s="147">
        <f>86/4*1000000</f>
        <v>21500000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90"/>
      <c r="W14" s="98"/>
      <c r="X14" s="99"/>
      <c r="Y14" s="99"/>
      <c r="Z14" s="99"/>
      <c r="AA14" s="99"/>
      <c r="AB14" s="99"/>
      <c r="AC14" s="99"/>
      <c r="AD14" s="99"/>
      <c r="AE14" s="99"/>
      <c r="AF14" s="96"/>
      <c r="AG14" s="98"/>
      <c r="AH14" s="99"/>
      <c r="AI14" s="99"/>
      <c r="AJ14" s="99"/>
      <c r="AK14" s="99"/>
      <c r="AL14" s="96"/>
    </row>
    <row r="15" spans="2:38" x14ac:dyDescent="0.25">
      <c r="B15" s="199">
        <f>119/4*1000000</f>
        <v>29750000</v>
      </c>
      <c r="C15" s="165">
        <f>84/4*1000000</f>
        <v>21000000</v>
      </c>
      <c r="D15" s="165">
        <f>65/4*1000000</f>
        <v>16250000</v>
      </c>
      <c r="E15" s="165">
        <f>117/4*1000000</f>
        <v>29250000</v>
      </c>
      <c r="F15" s="165">
        <f>29/4*1000000</f>
        <v>7250000</v>
      </c>
      <c r="G15" s="165">
        <f>32/4*1000000</f>
        <v>8000000</v>
      </c>
      <c r="H15" s="165">
        <f>51/4*1000000</f>
        <v>12750000</v>
      </c>
      <c r="I15" s="147">
        <f>99/4*1000000</f>
        <v>24750000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90"/>
      <c r="W15" s="98"/>
      <c r="X15" s="99"/>
      <c r="Y15" s="99"/>
      <c r="Z15" s="99"/>
      <c r="AA15" s="99"/>
      <c r="AB15" s="99"/>
      <c r="AC15" s="99"/>
      <c r="AD15" s="99"/>
      <c r="AE15" s="99"/>
      <c r="AF15" s="96"/>
      <c r="AG15" s="98"/>
      <c r="AH15" s="99"/>
      <c r="AI15" s="99"/>
      <c r="AJ15" s="99"/>
      <c r="AK15" s="99"/>
      <c r="AL15" s="96"/>
    </row>
    <row r="16" spans="2:38" x14ac:dyDescent="0.25">
      <c r="B16" s="199">
        <f>121/4*1000000</f>
        <v>30250000</v>
      </c>
      <c r="C16" s="225">
        <f>93/4*1000000</f>
        <v>23250000</v>
      </c>
      <c r="D16" s="165">
        <f>126/4*1000000</f>
        <v>31500000</v>
      </c>
      <c r="E16" s="165">
        <f>71/4*1000000</f>
        <v>17750000</v>
      </c>
      <c r="F16" s="165">
        <f>52/4*1000000</f>
        <v>13000000</v>
      </c>
      <c r="G16" s="165">
        <f>97/4*1000000</f>
        <v>24250000</v>
      </c>
      <c r="H16" s="165">
        <f>53/4*1000000</f>
        <v>13250000</v>
      </c>
      <c r="I16" s="147">
        <f>35/4*1000000</f>
        <v>8750000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90"/>
      <c r="W16" s="98"/>
      <c r="X16" s="99"/>
      <c r="Y16" s="99"/>
      <c r="Z16" s="99"/>
      <c r="AA16" s="99"/>
      <c r="AB16" s="99"/>
      <c r="AC16" s="99"/>
      <c r="AD16" s="99"/>
      <c r="AE16" s="99"/>
      <c r="AF16" s="96"/>
      <c r="AG16" s="98"/>
      <c r="AH16" s="99"/>
      <c r="AI16" s="99"/>
      <c r="AJ16" s="99"/>
      <c r="AK16" s="99"/>
      <c r="AL16" s="96"/>
    </row>
    <row r="17" spans="2:38" x14ac:dyDescent="0.25">
      <c r="B17" s="199">
        <f>54/4*1000000</f>
        <v>13500000</v>
      </c>
      <c r="C17" s="225">
        <f>142/4*1000000</f>
        <v>35500000</v>
      </c>
      <c r="D17" s="165">
        <f>121/4*1000000</f>
        <v>30250000</v>
      </c>
      <c r="E17" s="165">
        <f>125/4*1000000</f>
        <v>31250000</v>
      </c>
      <c r="F17" s="165">
        <f>96/4*1000000</f>
        <v>24000000</v>
      </c>
      <c r="G17" s="165">
        <f>72/4*1000000</f>
        <v>18000000</v>
      </c>
      <c r="H17" s="165">
        <f>60/4*1000000</f>
        <v>15000000</v>
      </c>
      <c r="I17" s="147">
        <f>61/4*1000000</f>
        <v>15250000</v>
      </c>
      <c r="J17" s="89"/>
      <c r="K17" s="89"/>
      <c r="L17" s="90"/>
      <c r="M17" s="89"/>
      <c r="N17" s="89"/>
      <c r="O17" s="89"/>
      <c r="P17" s="89"/>
      <c r="Q17" s="89"/>
      <c r="R17" s="89"/>
      <c r="S17" s="89"/>
      <c r="T17" s="89"/>
      <c r="U17" s="90"/>
      <c r="W17" s="98"/>
      <c r="X17" s="99"/>
      <c r="Y17" s="99"/>
      <c r="Z17" s="99"/>
      <c r="AA17" s="99"/>
      <c r="AB17" s="99"/>
      <c r="AC17" s="99"/>
      <c r="AD17" s="99"/>
      <c r="AE17" s="99"/>
      <c r="AF17" s="96"/>
      <c r="AG17" s="96"/>
      <c r="AH17" s="96"/>
      <c r="AI17" s="96"/>
      <c r="AJ17" s="96"/>
      <c r="AK17" s="96"/>
      <c r="AL17" s="96"/>
    </row>
    <row r="18" spans="2:38" x14ac:dyDescent="0.25">
      <c r="B18" s="199">
        <f>62/4*1000000</f>
        <v>15500000</v>
      </c>
      <c r="C18" s="225">
        <f>125/4*1000000</f>
        <v>31250000</v>
      </c>
      <c r="D18" s="165">
        <f>95/4*1000000</f>
        <v>23750000</v>
      </c>
      <c r="E18" s="165">
        <f>127/4*1000000</f>
        <v>31750000</v>
      </c>
      <c r="F18" s="165">
        <f>102/4*1000000</f>
        <v>25500000</v>
      </c>
      <c r="G18" s="165">
        <f>42/4*1000000</f>
        <v>10500000</v>
      </c>
      <c r="H18" s="165">
        <f>83/4*1000000</f>
        <v>20750000</v>
      </c>
      <c r="I18" s="147">
        <f>118/4*1000000</f>
        <v>29500000</v>
      </c>
      <c r="J18" s="90"/>
      <c r="K18" s="90"/>
      <c r="L18" s="90"/>
      <c r="M18" s="89"/>
      <c r="N18" s="89"/>
      <c r="O18" s="89"/>
      <c r="P18" s="89"/>
      <c r="Q18" s="89"/>
      <c r="R18" s="89"/>
      <c r="S18" s="89"/>
      <c r="T18" s="89"/>
      <c r="U18" s="90"/>
      <c r="W18" s="98"/>
      <c r="X18" s="99"/>
      <c r="Y18" s="99"/>
      <c r="Z18" s="99"/>
      <c r="AA18" s="99"/>
      <c r="AB18" s="99"/>
      <c r="AC18" s="99"/>
      <c r="AD18" s="99"/>
      <c r="AE18" s="99"/>
      <c r="AF18" s="96"/>
      <c r="AG18" s="96"/>
      <c r="AH18" s="96"/>
      <c r="AI18" s="96"/>
      <c r="AJ18" s="96"/>
      <c r="AK18" s="96"/>
      <c r="AL18" s="96"/>
    </row>
    <row r="19" spans="2:38" x14ac:dyDescent="0.25">
      <c r="B19" s="199">
        <f>92/4*1000000</f>
        <v>23000000</v>
      </c>
      <c r="C19" s="225">
        <f>120/4*1000000</f>
        <v>30000000</v>
      </c>
      <c r="D19" s="165">
        <f>75/4*1000000</f>
        <v>18750000</v>
      </c>
      <c r="E19" s="165">
        <f>135/4*1000000</f>
        <v>33750000</v>
      </c>
      <c r="F19" s="165">
        <f>66/4*1000000</f>
        <v>16500000</v>
      </c>
      <c r="G19" s="165">
        <f>15/4*1000000</f>
        <v>3750000</v>
      </c>
      <c r="H19" s="165">
        <f>70/4*1000000</f>
        <v>17500000</v>
      </c>
      <c r="I19" s="147">
        <f>119/4*1000000</f>
        <v>29750000</v>
      </c>
      <c r="J19" s="90"/>
      <c r="K19" s="90"/>
      <c r="L19" s="90"/>
      <c r="M19" s="89"/>
      <c r="N19" s="89"/>
      <c r="O19" s="89"/>
      <c r="P19" s="89"/>
      <c r="Q19" s="89"/>
      <c r="R19" s="89"/>
      <c r="S19" s="89"/>
      <c r="T19" s="89"/>
      <c r="U19" s="90"/>
      <c r="W19" s="98"/>
      <c r="X19" s="99"/>
      <c r="Y19" s="99"/>
      <c r="Z19" s="99"/>
      <c r="AA19" s="99"/>
      <c r="AB19" s="99"/>
      <c r="AC19" s="99"/>
      <c r="AD19" s="99"/>
      <c r="AE19" s="99"/>
      <c r="AF19" s="96"/>
      <c r="AG19" s="96"/>
      <c r="AH19" s="96"/>
      <c r="AI19" s="96"/>
      <c r="AJ19" s="96"/>
      <c r="AK19" s="96"/>
      <c r="AL19" s="96"/>
    </row>
    <row r="20" spans="2:38" x14ac:dyDescent="0.25">
      <c r="B20" s="199">
        <f>99/4*1000000</f>
        <v>24750000</v>
      </c>
      <c r="C20" s="225">
        <f>128/4*1000000</f>
        <v>32000000</v>
      </c>
      <c r="D20" s="165">
        <f>131/4*1000000</f>
        <v>32750000</v>
      </c>
      <c r="E20" s="165">
        <f>151/4*1000000</f>
        <v>37750000</v>
      </c>
      <c r="F20" s="165">
        <f>51/4*1000000</f>
        <v>12750000</v>
      </c>
      <c r="G20" s="165">
        <f>65/4*1000000</f>
        <v>16250000</v>
      </c>
      <c r="H20" s="165">
        <f>133/4*1000000</f>
        <v>33250000</v>
      </c>
      <c r="I20" s="147">
        <f>95/4*1000000</f>
        <v>23750000</v>
      </c>
      <c r="J20" s="90"/>
      <c r="K20" s="90"/>
      <c r="L20" s="90"/>
      <c r="M20" s="89"/>
      <c r="N20" s="89"/>
      <c r="O20" s="89"/>
      <c r="P20" s="89"/>
      <c r="Q20" s="89"/>
      <c r="R20" s="89"/>
      <c r="S20" s="89"/>
      <c r="T20" s="89"/>
      <c r="U20" s="90"/>
      <c r="W20" s="98"/>
      <c r="X20" s="99"/>
      <c r="Y20" s="99"/>
      <c r="Z20" s="99"/>
      <c r="AA20" s="99"/>
      <c r="AB20" s="99"/>
      <c r="AC20" s="99"/>
      <c r="AD20" s="99"/>
      <c r="AE20" s="99"/>
      <c r="AF20" s="96"/>
      <c r="AG20" s="96"/>
      <c r="AH20" s="96"/>
      <c r="AI20" s="96"/>
      <c r="AJ20" s="96"/>
      <c r="AK20" s="96"/>
      <c r="AL20" s="96"/>
    </row>
    <row r="21" spans="2:38" x14ac:dyDescent="0.25">
      <c r="B21" s="199">
        <f>73/4*1000000</f>
        <v>18250000</v>
      </c>
      <c r="C21" s="225">
        <f>120/4*1000000</f>
        <v>30000000</v>
      </c>
      <c r="D21" s="165">
        <f>156/4*1000000</f>
        <v>39000000</v>
      </c>
      <c r="E21" s="165">
        <f>106/4*1000000</f>
        <v>26500000</v>
      </c>
      <c r="F21" s="165">
        <f>94/4*1000000</f>
        <v>23500000</v>
      </c>
      <c r="G21" s="165">
        <f>56/4*1000000</f>
        <v>14000000</v>
      </c>
      <c r="H21" s="165">
        <f>99/4*1000000</f>
        <v>24750000</v>
      </c>
      <c r="I21" s="147">
        <f>95/4*1000000</f>
        <v>23750000</v>
      </c>
      <c r="J21" s="90"/>
      <c r="K21" s="90"/>
      <c r="L21" s="90"/>
      <c r="M21" s="89"/>
      <c r="N21" s="89"/>
      <c r="O21" s="89"/>
      <c r="P21" s="89"/>
      <c r="Q21" s="89"/>
      <c r="R21" s="89"/>
      <c r="S21" s="89"/>
      <c r="T21" s="89"/>
      <c r="U21" s="90"/>
      <c r="W21" s="98"/>
      <c r="X21" s="99"/>
      <c r="Y21" s="99"/>
      <c r="Z21" s="99"/>
      <c r="AA21" s="99"/>
      <c r="AB21" s="99"/>
      <c r="AC21" s="99"/>
      <c r="AD21" s="99"/>
      <c r="AE21" s="99"/>
      <c r="AF21" s="96"/>
      <c r="AG21" s="96"/>
      <c r="AH21" s="96"/>
      <c r="AI21" s="96"/>
      <c r="AJ21" s="96"/>
      <c r="AK21" s="96"/>
      <c r="AL21" s="96"/>
    </row>
    <row r="22" spans="2:38" x14ac:dyDescent="0.25">
      <c r="B22" s="199">
        <f>70/4*1000000</f>
        <v>17500000</v>
      </c>
      <c r="C22" s="225">
        <f>152/4*1000000</f>
        <v>38000000</v>
      </c>
      <c r="D22" s="165">
        <f>152/4*1000000</f>
        <v>38000000</v>
      </c>
      <c r="E22" s="165">
        <f>105/4*1000000</f>
        <v>26250000</v>
      </c>
      <c r="F22" s="165">
        <f>32/4*1000000</f>
        <v>8000000</v>
      </c>
      <c r="G22" s="165">
        <f>92/4*1000000</f>
        <v>23000000</v>
      </c>
      <c r="H22" s="165">
        <f>70/4*1000000</f>
        <v>17500000</v>
      </c>
      <c r="I22" s="147">
        <f>50/4*1000000</f>
        <v>12500000</v>
      </c>
      <c r="J22" s="90"/>
      <c r="K22" s="90"/>
      <c r="L22" s="90"/>
      <c r="M22" s="89"/>
      <c r="N22" s="89"/>
      <c r="O22" s="89"/>
      <c r="P22" s="89"/>
      <c r="Q22" s="89"/>
      <c r="R22" s="89"/>
      <c r="S22" s="89"/>
      <c r="T22" s="89"/>
      <c r="U22" s="90"/>
      <c r="W22" s="98"/>
      <c r="X22" s="99"/>
      <c r="Y22" s="99"/>
      <c r="Z22" s="99"/>
      <c r="AA22" s="99"/>
      <c r="AB22" s="99"/>
      <c r="AC22" s="99"/>
      <c r="AD22" s="99"/>
      <c r="AE22" s="99"/>
      <c r="AF22" s="96"/>
      <c r="AG22" s="96"/>
      <c r="AH22" s="96"/>
      <c r="AI22" s="96"/>
      <c r="AJ22" s="96"/>
      <c r="AK22" s="96"/>
      <c r="AL22" s="96"/>
    </row>
    <row r="23" spans="2:38" x14ac:dyDescent="0.25">
      <c r="B23" s="199">
        <f>80/4*1000000</f>
        <v>20000000</v>
      </c>
      <c r="C23" s="225">
        <f>139/4*1000000</f>
        <v>34750000</v>
      </c>
      <c r="D23" s="165">
        <f>208/4*1000000</f>
        <v>52000000</v>
      </c>
      <c r="E23" s="165">
        <f>169/4*1000000</f>
        <v>42250000</v>
      </c>
      <c r="F23" s="165">
        <f>46/4*1000000</f>
        <v>11500000</v>
      </c>
      <c r="G23" s="165">
        <f>72/4*1000000</f>
        <v>18000000</v>
      </c>
      <c r="H23" s="165">
        <f>68/4*1000000</f>
        <v>17000000</v>
      </c>
      <c r="I23" s="147">
        <f>133/4*1000000</f>
        <v>33250000</v>
      </c>
      <c r="J23" s="90"/>
      <c r="K23" s="90"/>
      <c r="L23" s="90"/>
      <c r="M23" s="89"/>
      <c r="N23" s="89"/>
      <c r="O23" s="89"/>
      <c r="P23" s="89"/>
      <c r="Q23" s="89"/>
      <c r="R23" s="89"/>
      <c r="S23" s="89"/>
      <c r="T23" s="89"/>
      <c r="U23" s="90"/>
      <c r="W23" s="98"/>
      <c r="X23" s="99"/>
      <c r="Y23" s="99"/>
      <c r="Z23" s="99"/>
      <c r="AA23" s="99"/>
      <c r="AB23" s="99"/>
      <c r="AC23" s="99"/>
      <c r="AD23" s="99"/>
      <c r="AE23" s="99"/>
      <c r="AF23" s="96"/>
      <c r="AG23" s="96"/>
      <c r="AH23" s="96"/>
      <c r="AI23" s="96"/>
      <c r="AJ23" s="96"/>
      <c r="AK23" s="96"/>
      <c r="AL23" s="96"/>
    </row>
    <row r="24" spans="2:38" x14ac:dyDescent="0.25">
      <c r="B24" s="199">
        <f>92/4*1000000</f>
        <v>23000000</v>
      </c>
      <c r="C24" s="225">
        <f>119/4*1000000</f>
        <v>29750000</v>
      </c>
      <c r="D24" s="165">
        <f>111/4*1000000</f>
        <v>27750000</v>
      </c>
      <c r="E24" s="165">
        <f>93/4*1000000</f>
        <v>23250000</v>
      </c>
      <c r="F24" s="165">
        <f>59/4*1000000</f>
        <v>14750000</v>
      </c>
      <c r="G24" s="165">
        <f>64/4*1000000</f>
        <v>16000000</v>
      </c>
      <c r="H24" s="165">
        <f>100/4*1000000</f>
        <v>25000000</v>
      </c>
      <c r="I24" s="147">
        <f>95/4*1000000</f>
        <v>23750000</v>
      </c>
      <c r="J24" s="90"/>
      <c r="K24" s="90"/>
      <c r="L24" s="90"/>
      <c r="M24" s="89"/>
      <c r="N24" s="89"/>
      <c r="O24" s="89"/>
      <c r="P24" s="89"/>
      <c r="Q24" s="89"/>
      <c r="R24" s="89"/>
      <c r="S24" s="89"/>
      <c r="T24" s="89"/>
      <c r="U24" s="90"/>
      <c r="W24" s="98"/>
      <c r="X24" s="99"/>
      <c r="Y24" s="99"/>
      <c r="Z24" s="99"/>
      <c r="AA24" s="99"/>
      <c r="AB24" s="99"/>
      <c r="AC24" s="99"/>
      <c r="AD24" s="99"/>
      <c r="AE24" s="99"/>
      <c r="AF24" s="96"/>
      <c r="AG24" s="96"/>
      <c r="AH24" s="96"/>
      <c r="AI24" s="96"/>
      <c r="AJ24" s="96"/>
      <c r="AK24" s="96"/>
      <c r="AL24" s="96"/>
    </row>
    <row r="25" spans="2:38" x14ac:dyDescent="0.25">
      <c r="B25" s="205">
        <f>57/4*1000000</f>
        <v>14250000</v>
      </c>
      <c r="C25" s="231">
        <f>166/4*1000000</f>
        <v>41500000</v>
      </c>
      <c r="D25" s="148">
        <f>122/4*1000000</f>
        <v>30500000</v>
      </c>
      <c r="E25" s="148">
        <f>90/4*1000000</f>
        <v>22500000</v>
      </c>
      <c r="F25" s="148">
        <f>62/4*1000000</f>
        <v>15500000</v>
      </c>
      <c r="G25" s="148">
        <f>94/4*1000000</f>
        <v>23500000</v>
      </c>
      <c r="H25" s="148">
        <f>89/4*1000000</f>
        <v>22250000</v>
      </c>
      <c r="I25" s="149">
        <f>102/4*1000000</f>
        <v>25500000</v>
      </c>
      <c r="J25" s="90"/>
      <c r="K25" s="90"/>
      <c r="L25" s="90"/>
      <c r="M25" s="89"/>
      <c r="N25" s="89"/>
      <c r="O25" s="89"/>
      <c r="P25" s="89"/>
      <c r="Q25" s="89"/>
      <c r="R25" s="89"/>
      <c r="S25" s="89"/>
      <c r="T25" s="89"/>
      <c r="U25" s="90"/>
      <c r="W25" s="98"/>
      <c r="X25" s="99"/>
      <c r="Y25" s="99"/>
      <c r="Z25" s="99"/>
      <c r="AA25" s="99"/>
      <c r="AB25" s="99"/>
      <c r="AC25" s="99"/>
      <c r="AD25" s="99"/>
      <c r="AE25" s="99"/>
      <c r="AF25" s="96"/>
      <c r="AG25" s="96"/>
      <c r="AH25" s="96"/>
      <c r="AI25" s="96"/>
      <c r="AJ25" s="96"/>
      <c r="AK25" s="96"/>
      <c r="AL25" s="96"/>
    </row>
    <row r="26" spans="2:38" x14ac:dyDescent="0.25">
      <c r="D26" s="72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W26" s="98"/>
      <c r="X26" s="99"/>
      <c r="Y26" s="99"/>
      <c r="Z26" s="99"/>
      <c r="AA26" s="99"/>
      <c r="AB26" s="99"/>
      <c r="AC26" s="99"/>
      <c r="AD26" s="99"/>
      <c r="AE26" s="99"/>
      <c r="AF26" s="96"/>
      <c r="AG26" s="96"/>
      <c r="AH26" s="96"/>
      <c r="AI26" s="96"/>
      <c r="AJ26" s="96"/>
      <c r="AK26" s="96"/>
      <c r="AL26" s="96"/>
    </row>
    <row r="27" spans="2:38" x14ac:dyDescent="0.25">
      <c r="B27" s="90"/>
      <c r="C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W27" s="98"/>
      <c r="X27" s="99"/>
      <c r="Y27" s="99"/>
      <c r="Z27" s="99"/>
      <c r="AA27" s="99"/>
      <c r="AB27" s="99"/>
      <c r="AC27" s="99"/>
      <c r="AD27" s="99"/>
      <c r="AE27" s="99"/>
      <c r="AF27" s="96"/>
      <c r="AG27" s="96"/>
      <c r="AH27" s="96"/>
      <c r="AI27" s="96"/>
      <c r="AJ27" s="96"/>
      <c r="AK27" s="96"/>
      <c r="AL27" s="96"/>
    </row>
    <row r="28" spans="2:38" x14ac:dyDescent="0.25">
      <c r="B28" s="90"/>
      <c r="C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W28" s="98"/>
      <c r="X28" s="99"/>
      <c r="Y28" s="99"/>
      <c r="Z28" s="99"/>
      <c r="AA28" s="99"/>
      <c r="AB28" s="99"/>
      <c r="AC28" s="99"/>
      <c r="AD28" s="99"/>
      <c r="AE28" s="99"/>
      <c r="AF28" s="96"/>
      <c r="AG28" s="96"/>
      <c r="AH28" s="96"/>
      <c r="AI28" s="96"/>
      <c r="AJ28" s="96"/>
      <c r="AK28" s="96"/>
      <c r="AL28" s="96"/>
    </row>
    <row r="29" spans="2:38" x14ac:dyDescent="0.25">
      <c r="B29" s="294" t="s">
        <v>251</v>
      </c>
      <c r="C29" s="295"/>
      <c r="D29" s="295"/>
      <c r="E29" s="295"/>
      <c r="F29" s="295"/>
      <c r="G29" s="295"/>
      <c r="H29" s="295"/>
      <c r="I29" s="296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W29" s="98"/>
      <c r="X29" s="99"/>
      <c r="Y29" s="99"/>
      <c r="Z29" s="99"/>
      <c r="AA29" s="99"/>
      <c r="AB29" s="99"/>
      <c r="AC29" s="99"/>
      <c r="AD29" s="99"/>
      <c r="AE29" s="99"/>
      <c r="AF29" s="96"/>
      <c r="AG29" s="96"/>
      <c r="AH29" s="96"/>
      <c r="AI29" s="96"/>
      <c r="AJ29" s="96"/>
      <c r="AK29" s="96"/>
      <c r="AL29" s="96"/>
    </row>
    <row r="30" spans="2:38" x14ac:dyDescent="0.25">
      <c r="B30" s="3" t="s">
        <v>239</v>
      </c>
      <c r="C30" s="91" t="s">
        <v>252</v>
      </c>
      <c r="D30" s="91" t="s">
        <v>253</v>
      </c>
      <c r="E30" s="91" t="s">
        <v>254</v>
      </c>
      <c r="F30" s="91" t="s">
        <v>88</v>
      </c>
      <c r="G30" s="91" t="s">
        <v>89</v>
      </c>
      <c r="H30" s="91" t="s">
        <v>90</v>
      </c>
      <c r="I30" s="6" t="s">
        <v>255</v>
      </c>
      <c r="W30" s="98"/>
      <c r="X30" s="99"/>
      <c r="Y30" s="99"/>
      <c r="Z30" s="99"/>
      <c r="AA30" s="99"/>
      <c r="AB30" s="99"/>
      <c r="AC30" s="99"/>
      <c r="AD30" s="99"/>
      <c r="AE30" s="99"/>
      <c r="AF30" s="96"/>
      <c r="AG30" s="96"/>
      <c r="AH30" s="96"/>
      <c r="AI30" s="96"/>
      <c r="AJ30" s="96"/>
      <c r="AK30" s="96"/>
      <c r="AL30" s="96"/>
    </row>
    <row r="31" spans="2:38" x14ac:dyDescent="0.25">
      <c r="B31" s="201">
        <f>85/4*1000000</f>
        <v>21250000</v>
      </c>
      <c r="C31" s="165">
        <v>16000000</v>
      </c>
      <c r="D31" s="165">
        <f>39/4*1000000</f>
        <v>9750000</v>
      </c>
      <c r="E31" s="83">
        <f>80/4*1000000</f>
        <v>20000000</v>
      </c>
      <c r="F31" s="165">
        <f>87/4*1000000</f>
        <v>21750000</v>
      </c>
      <c r="G31" s="165">
        <f>49/4*1000000</f>
        <v>12250000</v>
      </c>
      <c r="H31" s="165">
        <f>54/4*1000000</f>
        <v>13500000</v>
      </c>
      <c r="I31" s="147">
        <f>66/4*1000000</f>
        <v>16500000</v>
      </c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</row>
    <row r="32" spans="2:38" x14ac:dyDescent="0.25">
      <c r="B32" s="201">
        <f>117/4*1000000</f>
        <v>29250000</v>
      </c>
      <c r="C32" s="165">
        <v>19250000</v>
      </c>
      <c r="D32" s="165">
        <f>50/4*1000000</f>
        <v>12500000</v>
      </c>
      <c r="E32" s="83">
        <f>45/4*1000000</f>
        <v>11250000</v>
      </c>
      <c r="F32" s="165">
        <f>62/4*1000000</f>
        <v>15500000</v>
      </c>
      <c r="G32" s="165">
        <f>88/4*1000000</f>
        <v>22000000</v>
      </c>
      <c r="H32" s="165">
        <f>139/4*1000000</f>
        <v>34750000</v>
      </c>
      <c r="I32" s="147">
        <f>53/4*1000000</f>
        <v>13250000</v>
      </c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</row>
    <row r="33" spans="2:38" x14ac:dyDescent="0.25">
      <c r="B33" s="201">
        <f>114/4*1000000</f>
        <v>28500000</v>
      </c>
      <c r="C33" s="165">
        <v>6500000</v>
      </c>
      <c r="D33" s="165">
        <f>45/4*1000000</f>
        <v>11250000</v>
      </c>
      <c r="E33" s="83">
        <f>47/4*1000000</f>
        <v>11750000</v>
      </c>
      <c r="F33" s="165">
        <f>72/4*1000000</f>
        <v>18000000</v>
      </c>
      <c r="G33" s="165">
        <f>47/4*1000000</f>
        <v>11750000</v>
      </c>
      <c r="H33" s="165">
        <f>100/4*1000000</f>
        <v>25000000</v>
      </c>
      <c r="I33" s="147">
        <f>121/4*1000000</f>
        <v>30250000</v>
      </c>
      <c r="W33" s="119"/>
      <c r="X33" s="119"/>
      <c r="Y33" s="119"/>
      <c r="Z33" s="119"/>
      <c r="AA33" s="119"/>
      <c r="AB33" s="119"/>
      <c r="AC33" s="119"/>
      <c r="AD33" s="119"/>
      <c r="AE33" s="119"/>
      <c r="AF33" s="96"/>
      <c r="AG33" s="98"/>
      <c r="AH33" s="99"/>
      <c r="AI33" s="96"/>
      <c r="AJ33" s="96"/>
      <c r="AK33" s="96"/>
      <c r="AL33" s="96"/>
    </row>
    <row r="34" spans="2:38" x14ac:dyDescent="0.25">
      <c r="B34" s="201">
        <f>95/4*1000000</f>
        <v>23750000</v>
      </c>
      <c r="C34" s="165">
        <v>8750000</v>
      </c>
      <c r="D34" s="165">
        <f>91/4*1000000</f>
        <v>22750000</v>
      </c>
      <c r="E34" s="83">
        <f>55/4*1000000</f>
        <v>13750000</v>
      </c>
      <c r="F34" s="165">
        <f>104/4*1000000</f>
        <v>26000000</v>
      </c>
      <c r="G34" s="165">
        <f>123/4*1000000</f>
        <v>30750000</v>
      </c>
      <c r="H34" s="165">
        <f>85/4*1000000</f>
        <v>21250000</v>
      </c>
      <c r="I34" s="147">
        <f>181/4*1000000</f>
        <v>45250000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6"/>
      <c r="X34" s="95"/>
      <c r="Y34" s="95"/>
      <c r="Z34" s="95"/>
      <c r="AA34" s="95"/>
      <c r="AB34" s="95"/>
      <c r="AC34" s="95"/>
      <c r="AD34" s="95"/>
      <c r="AE34" s="95"/>
      <c r="AF34" s="96"/>
      <c r="AG34" s="98"/>
      <c r="AH34" s="99"/>
      <c r="AI34" s="96"/>
      <c r="AJ34" s="96"/>
      <c r="AK34" s="96"/>
      <c r="AL34" s="96"/>
    </row>
    <row r="35" spans="2:38" x14ac:dyDescent="0.25">
      <c r="B35" s="201">
        <f>143/4*1000000</f>
        <v>35750000</v>
      </c>
      <c r="C35" s="165">
        <v>22750000</v>
      </c>
      <c r="D35" s="165">
        <f>62/4*1000000</f>
        <v>15500000</v>
      </c>
      <c r="E35" s="83">
        <f>94/4*1000000</f>
        <v>23500000</v>
      </c>
      <c r="F35" s="165">
        <f>81/4*1000000</f>
        <v>20250000</v>
      </c>
      <c r="G35" s="165">
        <f>133/4*1000000</f>
        <v>33250000</v>
      </c>
      <c r="H35" s="165">
        <f>125/4*1000000</f>
        <v>31250000</v>
      </c>
      <c r="I35" s="147">
        <f>195/4*1000000</f>
        <v>48750000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8"/>
      <c r="X35" s="99"/>
      <c r="Y35" s="99"/>
      <c r="Z35" s="99"/>
      <c r="AA35" s="99"/>
      <c r="AB35" s="99"/>
      <c r="AC35" s="99"/>
      <c r="AD35" s="99"/>
      <c r="AE35" s="99"/>
      <c r="AF35" s="96"/>
      <c r="AG35" s="98"/>
      <c r="AH35" s="99"/>
      <c r="AI35" s="96"/>
      <c r="AJ35" s="96"/>
      <c r="AK35" s="96"/>
      <c r="AL35" s="96"/>
    </row>
    <row r="36" spans="2:38" x14ac:dyDescent="0.25">
      <c r="B36" s="201">
        <f>78/4*1000000</f>
        <v>19500000</v>
      </c>
      <c r="C36" s="165">
        <v>7250000</v>
      </c>
      <c r="D36" s="165">
        <f>58/4*1000000</f>
        <v>14500000</v>
      </c>
      <c r="E36" s="83">
        <f>71/4*1000000</f>
        <v>17750000</v>
      </c>
      <c r="F36" s="165">
        <f>42/4*1000000</f>
        <v>10500000</v>
      </c>
      <c r="G36" s="165">
        <f>115/4*1000000</f>
        <v>28750000</v>
      </c>
      <c r="H36" s="165">
        <f>84/4*1000000</f>
        <v>21000000</v>
      </c>
      <c r="I36" s="147">
        <f>197/4*1000000</f>
        <v>49250000</v>
      </c>
      <c r="J36" s="90"/>
      <c r="K36" s="90"/>
      <c r="L36" s="90"/>
      <c r="M36" s="158"/>
      <c r="N36" s="158"/>
      <c r="O36" s="158"/>
      <c r="P36" s="158"/>
      <c r="Q36" s="158"/>
      <c r="R36" s="158"/>
      <c r="S36" s="158"/>
      <c r="T36" s="158"/>
      <c r="U36" s="90"/>
      <c r="V36" s="90"/>
      <c r="W36" s="98"/>
      <c r="X36" s="99"/>
      <c r="Y36" s="99"/>
      <c r="Z36" s="99"/>
      <c r="AA36" s="99"/>
      <c r="AB36" s="99"/>
      <c r="AC36" s="99"/>
      <c r="AD36" s="99"/>
      <c r="AE36" s="99"/>
      <c r="AF36" s="96"/>
      <c r="AG36" s="98"/>
      <c r="AH36" s="99"/>
      <c r="AI36" s="96"/>
      <c r="AJ36" s="96"/>
      <c r="AK36" s="96"/>
      <c r="AL36" s="96"/>
    </row>
    <row r="37" spans="2:38" x14ac:dyDescent="0.25">
      <c r="B37" s="201">
        <f>89/4*1000000</f>
        <v>22250000</v>
      </c>
      <c r="C37" s="165">
        <v>9750000</v>
      </c>
      <c r="D37" s="165">
        <f>42/4*1000000</f>
        <v>10500000</v>
      </c>
      <c r="E37" s="83">
        <f>70/4*1000000</f>
        <v>17500000</v>
      </c>
      <c r="F37" s="165">
        <f>179/4*1000000</f>
        <v>44750000</v>
      </c>
      <c r="G37" s="165">
        <f>107/4*1000000</f>
        <v>26750000</v>
      </c>
      <c r="H37" s="165">
        <f>69/4*1000000</f>
        <v>17250000</v>
      </c>
      <c r="I37" s="147">
        <f>56/4*1000000</f>
        <v>14000000</v>
      </c>
      <c r="J37" s="90"/>
      <c r="K37" s="90"/>
      <c r="L37" s="90"/>
      <c r="M37" s="89"/>
      <c r="N37" s="89"/>
      <c r="O37" s="89"/>
      <c r="P37" s="89"/>
      <c r="Q37" s="89"/>
      <c r="R37" s="89"/>
      <c r="S37" s="89"/>
      <c r="T37" s="89"/>
      <c r="U37" s="90"/>
      <c r="V37" s="90"/>
      <c r="W37" s="98"/>
      <c r="X37" s="99"/>
      <c r="Y37" s="99"/>
      <c r="Z37" s="99"/>
      <c r="AA37" s="99"/>
      <c r="AB37" s="99"/>
      <c r="AC37" s="99"/>
      <c r="AD37" s="99"/>
      <c r="AE37" s="99"/>
      <c r="AF37" s="96"/>
      <c r="AG37" s="98"/>
      <c r="AH37" s="99"/>
      <c r="AI37" s="96"/>
      <c r="AJ37" s="96"/>
      <c r="AK37" s="96"/>
      <c r="AL37" s="96"/>
    </row>
    <row r="38" spans="2:38" x14ac:dyDescent="0.25">
      <c r="B38" s="201">
        <f>135/4*1000000</f>
        <v>33750000</v>
      </c>
      <c r="C38" s="165">
        <v>17750000</v>
      </c>
      <c r="D38" s="165">
        <f>34/4*1000000</f>
        <v>8500000</v>
      </c>
      <c r="E38" s="83">
        <f>85/4*1000000</f>
        <v>21250000</v>
      </c>
      <c r="F38" s="165">
        <f>152/4*1000000</f>
        <v>38000000</v>
      </c>
      <c r="G38" s="165">
        <f>91/4*1000000</f>
        <v>22750000</v>
      </c>
      <c r="H38" s="165">
        <f>62/4*1000000</f>
        <v>15500000</v>
      </c>
      <c r="I38" s="147">
        <f>105/4*1000000</f>
        <v>26250000</v>
      </c>
      <c r="J38" s="89"/>
      <c r="K38" s="89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8"/>
      <c r="X38" s="99"/>
      <c r="Y38" s="99"/>
      <c r="Z38" s="99"/>
      <c r="AA38" s="99"/>
      <c r="AB38" s="99"/>
      <c r="AC38" s="99"/>
      <c r="AD38" s="99"/>
      <c r="AE38" s="99"/>
      <c r="AF38" s="96"/>
      <c r="AG38" s="98"/>
      <c r="AH38" s="99"/>
      <c r="AI38" s="96"/>
      <c r="AJ38" s="96"/>
      <c r="AK38" s="96"/>
      <c r="AL38" s="96"/>
    </row>
    <row r="39" spans="2:38" x14ac:dyDescent="0.25">
      <c r="B39" s="201">
        <f>113/4*1000000</f>
        <v>28250000</v>
      </c>
      <c r="C39" s="165">
        <v>16000000</v>
      </c>
      <c r="D39" s="165">
        <f>36/4*1000000</f>
        <v>9000000</v>
      </c>
      <c r="E39" s="83">
        <f>21/4*1000000</f>
        <v>5250000</v>
      </c>
      <c r="F39" s="165">
        <f>156/4*1000000</f>
        <v>39000000</v>
      </c>
      <c r="G39" s="165">
        <f>95/4*1000000</f>
        <v>23750000</v>
      </c>
      <c r="H39" s="165">
        <f>106/4*1000000</f>
        <v>26500000</v>
      </c>
      <c r="I39" s="147">
        <f>141/4*1000000</f>
        <v>35250000</v>
      </c>
      <c r="J39" s="89"/>
      <c r="K39" s="89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8"/>
      <c r="X39" s="99"/>
      <c r="Y39" s="99"/>
      <c r="Z39" s="99"/>
      <c r="AA39" s="99"/>
      <c r="AB39" s="99"/>
      <c r="AC39" s="99"/>
      <c r="AD39" s="99"/>
      <c r="AE39" s="99"/>
      <c r="AF39" s="96"/>
      <c r="AG39" s="98"/>
      <c r="AH39" s="99"/>
      <c r="AI39" s="96"/>
      <c r="AJ39" s="96"/>
      <c r="AK39" s="96"/>
      <c r="AL39" s="96"/>
    </row>
    <row r="40" spans="2:38" x14ac:dyDescent="0.25">
      <c r="B40" s="201">
        <f>131/4*1000000</f>
        <v>32750000</v>
      </c>
      <c r="C40" s="165">
        <v>7250000</v>
      </c>
      <c r="D40" s="165">
        <f>63/4*1000000</f>
        <v>15750000</v>
      </c>
      <c r="E40" s="83">
        <f>68/4*1000000</f>
        <v>17000000</v>
      </c>
      <c r="F40" s="165">
        <f>180/4*1000000</f>
        <v>45000000</v>
      </c>
      <c r="G40" s="165">
        <f>120/4*1000000</f>
        <v>30000000</v>
      </c>
      <c r="H40" s="165">
        <f>105/4*1000000</f>
        <v>26250000</v>
      </c>
      <c r="I40" s="147">
        <f>87/4*1000000</f>
        <v>21750000</v>
      </c>
      <c r="J40" s="89"/>
      <c r="K40" s="89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8"/>
      <c r="X40" s="99"/>
      <c r="Y40" s="99"/>
      <c r="Z40" s="99"/>
      <c r="AA40" s="99"/>
      <c r="AB40" s="99"/>
      <c r="AC40" s="99"/>
      <c r="AD40" s="99"/>
      <c r="AE40" s="99"/>
      <c r="AF40" s="96"/>
      <c r="AG40" s="98"/>
      <c r="AH40" s="99"/>
      <c r="AI40" s="96"/>
      <c r="AJ40" s="96"/>
      <c r="AK40" s="96"/>
      <c r="AL40" s="96"/>
    </row>
    <row r="41" spans="2:38" x14ac:dyDescent="0.25">
      <c r="B41" s="201">
        <f>58/4*1000000</f>
        <v>14500000</v>
      </c>
      <c r="C41" s="165">
        <f>57/4*1000000</f>
        <v>14250000</v>
      </c>
      <c r="D41" s="165">
        <f>44/4*1000000</f>
        <v>11000000</v>
      </c>
      <c r="E41" s="83">
        <f>41/4*1000000</f>
        <v>10250000</v>
      </c>
      <c r="F41" s="165">
        <f>143/4*1000000</f>
        <v>35750000</v>
      </c>
      <c r="G41" s="165">
        <f>98/4*1000000</f>
        <v>24500000</v>
      </c>
      <c r="H41" s="165">
        <f>73/4*1000000</f>
        <v>18250000</v>
      </c>
      <c r="I41" s="147">
        <f>105/4*1000000</f>
        <v>26250000</v>
      </c>
      <c r="J41" s="89"/>
      <c r="K41" s="89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8"/>
      <c r="X41" s="99"/>
      <c r="Y41" s="99"/>
      <c r="Z41" s="99"/>
      <c r="AA41" s="99"/>
      <c r="AB41" s="99"/>
      <c r="AC41" s="99"/>
      <c r="AD41" s="99"/>
      <c r="AE41" s="99"/>
      <c r="AF41" s="96"/>
      <c r="AG41" s="96"/>
      <c r="AH41" s="96"/>
      <c r="AI41" s="96"/>
      <c r="AJ41" s="96"/>
      <c r="AK41" s="96"/>
      <c r="AL41" s="96"/>
    </row>
    <row r="42" spans="2:38" x14ac:dyDescent="0.25">
      <c r="B42" s="201">
        <f>91/4*1000000</f>
        <v>22750000</v>
      </c>
      <c r="C42" s="165">
        <f>55/4*1000000</f>
        <v>13750000</v>
      </c>
      <c r="D42" s="165">
        <f>65/4*1000000</f>
        <v>16250000</v>
      </c>
      <c r="E42" s="83">
        <f>41/4*1000000</f>
        <v>10250000</v>
      </c>
      <c r="F42" s="165">
        <f>86/4*1000000</f>
        <v>21500000</v>
      </c>
      <c r="G42" s="165">
        <f>108/4*1000000</f>
        <v>27000000</v>
      </c>
      <c r="H42" s="165">
        <f>57/4*1000000</f>
        <v>14250000</v>
      </c>
      <c r="I42" s="147">
        <f>97/4*1000000</f>
        <v>24250000</v>
      </c>
      <c r="J42" s="89"/>
      <c r="K42" s="89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8"/>
      <c r="X42" s="99"/>
      <c r="Y42" s="99"/>
      <c r="Z42" s="99"/>
      <c r="AA42" s="99"/>
      <c r="AB42" s="99"/>
      <c r="AC42" s="99"/>
      <c r="AD42" s="99"/>
      <c r="AE42" s="99"/>
      <c r="AF42" s="96"/>
      <c r="AG42" s="96"/>
      <c r="AH42" s="96"/>
      <c r="AI42" s="96"/>
      <c r="AJ42" s="96"/>
      <c r="AK42" s="96"/>
      <c r="AL42" s="96"/>
    </row>
    <row r="43" spans="2:38" x14ac:dyDescent="0.25">
      <c r="B43" s="201">
        <f>107/4*1000000</f>
        <v>26750000</v>
      </c>
      <c r="C43" s="165">
        <f>45/4*1000000</f>
        <v>11250000</v>
      </c>
      <c r="D43" s="165">
        <f>55/4*1000000</f>
        <v>13750000</v>
      </c>
      <c r="E43" s="83">
        <f>17/4*1000000</f>
        <v>4250000</v>
      </c>
      <c r="F43" s="165">
        <f>49/4*1000000</f>
        <v>12250000</v>
      </c>
      <c r="G43" s="165">
        <f>109/4*1000000</f>
        <v>27250000</v>
      </c>
      <c r="H43" s="165">
        <f>70/4*1000000</f>
        <v>17500000</v>
      </c>
      <c r="I43" s="147">
        <f>68/4*1000000</f>
        <v>17000000</v>
      </c>
      <c r="J43" s="89"/>
      <c r="K43" s="89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8"/>
      <c r="X43" s="99"/>
      <c r="Y43" s="99"/>
      <c r="Z43" s="99"/>
      <c r="AA43" s="99"/>
      <c r="AB43" s="99"/>
      <c r="AC43" s="99"/>
      <c r="AD43" s="99"/>
      <c r="AE43" s="99"/>
      <c r="AF43" s="96"/>
      <c r="AG43" s="98"/>
      <c r="AH43" s="99"/>
      <c r="AI43" s="99"/>
      <c r="AJ43" s="99"/>
      <c r="AK43" s="96"/>
      <c r="AL43" s="96"/>
    </row>
    <row r="44" spans="2:38" x14ac:dyDescent="0.25">
      <c r="B44" s="232">
        <f>136/4*10000000</f>
        <v>340000000</v>
      </c>
      <c r="C44" s="165">
        <f>36/4*1000000</f>
        <v>9000000</v>
      </c>
      <c r="D44" s="165">
        <f>110/4*1000000</f>
        <v>27500000</v>
      </c>
      <c r="E44" s="83">
        <f>22/4*1000000</f>
        <v>5500000</v>
      </c>
      <c r="F44" s="165">
        <f>150/4*1000000</f>
        <v>37500000</v>
      </c>
      <c r="G44" s="165">
        <f>146/4*1000000</f>
        <v>36500000</v>
      </c>
      <c r="H44" s="165">
        <f>75/4*1000000</f>
        <v>18750000</v>
      </c>
      <c r="I44" s="147">
        <f>57/4*1000000</f>
        <v>14250000</v>
      </c>
      <c r="J44" s="89"/>
      <c r="K44" s="89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8"/>
      <c r="X44" s="99"/>
      <c r="Y44" s="99"/>
      <c r="Z44" s="99"/>
      <c r="AA44" s="99"/>
      <c r="AB44" s="99"/>
      <c r="AC44" s="99"/>
      <c r="AD44" s="99"/>
      <c r="AE44" s="99"/>
      <c r="AF44" s="96"/>
      <c r="AG44" s="98"/>
      <c r="AH44" s="99"/>
      <c r="AI44" s="99"/>
      <c r="AJ44" s="99"/>
      <c r="AK44" s="96"/>
      <c r="AL44" s="96"/>
    </row>
    <row r="45" spans="2:38" x14ac:dyDescent="0.25">
      <c r="B45" s="232">
        <f>63/4*1000000</f>
        <v>15750000</v>
      </c>
      <c r="C45" s="165">
        <f>48/4*1000000</f>
        <v>12000000</v>
      </c>
      <c r="D45" s="165">
        <f>62/4*1000000</f>
        <v>15500000</v>
      </c>
      <c r="E45" s="83">
        <f>20/4*1000000</f>
        <v>5000000</v>
      </c>
      <c r="F45" s="165">
        <f>149/4*1000000</f>
        <v>37250000</v>
      </c>
      <c r="G45" s="165">
        <f>59/4*1000000</f>
        <v>14750000</v>
      </c>
      <c r="H45" s="165">
        <f>48/4*1000000</f>
        <v>12000000</v>
      </c>
      <c r="I45" s="147">
        <f>82/4*1000000</f>
        <v>20500000</v>
      </c>
      <c r="J45" s="89"/>
      <c r="K45" s="89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8"/>
      <c r="X45" s="99"/>
      <c r="Y45" s="99"/>
      <c r="Z45" s="99"/>
      <c r="AA45" s="99"/>
      <c r="AB45" s="99"/>
      <c r="AC45" s="99"/>
      <c r="AD45" s="99"/>
      <c r="AE45" s="99"/>
      <c r="AF45" s="96"/>
      <c r="AG45" s="98"/>
      <c r="AH45" s="99"/>
      <c r="AI45" s="99"/>
      <c r="AJ45" s="99"/>
      <c r="AK45" s="96"/>
      <c r="AL45" s="96"/>
    </row>
    <row r="46" spans="2:38" x14ac:dyDescent="0.25">
      <c r="B46" s="232">
        <f>115/4*1000000</f>
        <v>28750000</v>
      </c>
      <c r="C46" s="165">
        <f>48/4*1000000</f>
        <v>12000000</v>
      </c>
      <c r="D46" s="165">
        <f>39/4*1000000</f>
        <v>9750000</v>
      </c>
      <c r="E46" s="83">
        <f>29/4*1000000</f>
        <v>7250000</v>
      </c>
      <c r="F46" s="165">
        <f>55/4*1000000</f>
        <v>13750000</v>
      </c>
      <c r="G46" s="165">
        <f>171/4*1000000</f>
        <v>42750000</v>
      </c>
      <c r="H46" s="165">
        <f>80/4*1000000</f>
        <v>20000000</v>
      </c>
      <c r="I46" s="147">
        <f>87/4*1000000</f>
        <v>21750000</v>
      </c>
      <c r="J46" s="89"/>
      <c r="K46" s="89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8"/>
      <c r="X46" s="99"/>
      <c r="Y46" s="99"/>
      <c r="Z46" s="99"/>
      <c r="AA46" s="99"/>
      <c r="AB46" s="99"/>
      <c r="AC46" s="99"/>
      <c r="AD46" s="99"/>
      <c r="AE46" s="99"/>
      <c r="AF46" s="96"/>
      <c r="AG46" s="98"/>
      <c r="AH46" s="99"/>
      <c r="AI46" s="99"/>
      <c r="AJ46" s="99"/>
      <c r="AK46" s="96"/>
      <c r="AL46" s="96"/>
    </row>
    <row r="47" spans="2:38" x14ac:dyDescent="0.25">
      <c r="B47" s="232">
        <f>67/4*1000000</f>
        <v>16750000</v>
      </c>
      <c r="C47" s="165">
        <f>45/4*1000000</f>
        <v>11250000</v>
      </c>
      <c r="D47" s="165">
        <f>38/4*1000000</f>
        <v>9500000</v>
      </c>
      <c r="E47" s="83">
        <f>31/4*1000000</f>
        <v>7750000</v>
      </c>
      <c r="F47" s="165">
        <f>133/4*1000000</f>
        <v>33250000</v>
      </c>
      <c r="G47" s="165">
        <f>63/4*1000000</f>
        <v>15750000</v>
      </c>
      <c r="H47" s="165">
        <f>68/4*1000000</f>
        <v>17000000</v>
      </c>
      <c r="I47" s="147">
        <f>131/4*1000000</f>
        <v>32750000</v>
      </c>
      <c r="J47" s="89"/>
      <c r="K47" s="89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8"/>
      <c r="X47" s="99"/>
      <c r="Y47" s="99"/>
      <c r="Z47" s="99"/>
      <c r="AA47" s="99"/>
      <c r="AB47" s="99"/>
      <c r="AC47" s="99"/>
      <c r="AD47" s="99"/>
      <c r="AE47" s="99"/>
      <c r="AF47" s="96"/>
      <c r="AG47" s="98"/>
      <c r="AH47" s="99"/>
      <c r="AI47" s="99"/>
      <c r="AJ47" s="99"/>
      <c r="AK47" s="96"/>
      <c r="AL47" s="96"/>
    </row>
    <row r="48" spans="2:38" x14ac:dyDescent="0.25">
      <c r="B48" s="232">
        <f>102/4*1000000</f>
        <v>25500000</v>
      </c>
      <c r="C48" s="165">
        <f>29/4*1000000</f>
        <v>7250000</v>
      </c>
      <c r="D48" s="165">
        <f>46/4*1000000</f>
        <v>11500000</v>
      </c>
      <c r="E48" s="83">
        <f>30/4*1000000</f>
        <v>7500000</v>
      </c>
      <c r="F48" s="165">
        <f>154/4*1000000</f>
        <v>38500000</v>
      </c>
      <c r="G48" s="165">
        <f>133/4*1000000</f>
        <v>33250000</v>
      </c>
      <c r="H48" s="165">
        <f>65/4*1000000</f>
        <v>16250000</v>
      </c>
      <c r="I48" s="147">
        <f>75/4*1000000</f>
        <v>18750000</v>
      </c>
      <c r="J48" s="89"/>
      <c r="K48" s="89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8"/>
      <c r="X48" s="99"/>
      <c r="Y48" s="99"/>
      <c r="Z48" s="99"/>
      <c r="AA48" s="99"/>
      <c r="AB48" s="99"/>
      <c r="AC48" s="99"/>
      <c r="AD48" s="99"/>
      <c r="AE48" s="99"/>
      <c r="AF48" s="96"/>
      <c r="AG48" s="98"/>
      <c r="AH48" s="99"/>
      <c r="AI48" s="99"/>
      <c r="AJ48" s="99"/>
      <c r="AK48" s="96"/>
      <c r="AL48" s="96"/>
    </row>
    <row r="49" spans="2:38" x14ac:dyDescent="0.25">
      <c r="B49" s="232">
        <f>89/4*1000000</f>
        <v>22250000</v>
      </c>
      <c r="C49" s="165">
        <f>60/4*1000000</f>
        <v>15000000</v>
      </c>
      <c r="D49" s="165">
        <f>71/4*1000000</f>
        <v>17750000</v>
      </c>
      <c r="E49" s="83">
        <f>49/4*1000000</f>
        <v>12250000</v>
      </c>
      <c r="F49" s="165">
        <f>131/4*1000000</f>
        <v>32750000</v>
      </c>
      <c r="G49" s="165">
        <f>63/4*1000000</f>
        <v>15750000</v>
      </c>
      <c r="H49" s="165">
        <f>55/4*1000000</f>
        <v>13750000</v>
      </c>
      <c r="I49" s="147">
        <f>88/4*1000000</f>
        <v>22000000</v>
      </c>
      <c r="J49" s="89"/>
      <c r="K49" s="89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8"/>
      <c r="X49" s="99"/>
      <c r="Y49" s="99"/>
      <c r="Z49" s="99"/>
      <c r="AA49" s="99"/>
      <c r="AB49" s="99"/>
      <c r="AC49" s="99"/>
      <c r="AD49" s="99"/>
      <c r="AE49" s="99"/>
      <c r="AF49" s="96"/>
      <c r="AG49" s="98"/>
      <c r="AH49" s="99"/>
      <c r="AI49" s="99"/>
      <c r="AJ49" s="99"/>
      <c r="AK49" s="96"/>
      <c r="AL49" s="96"/>
    </row>
    <row r="50" spans="2:38" x14ac:dyDescent="0.25">
      <c r="B50" s="233">
        <f>117/4*1000000</f>
        <v>29250000</v>
      </c>
      <c r="C50" s="148">
        <f>45/4*1000000</f>
        <v>11250000</v>
      </c>
      <c r="D50" s="148">
        <f>47/4*1000000</f>
        <v>11750000</v>
      </c>
      <c r="E50" s="203">
        <f>29/4*1000000</f>
        <v>7250000</v>
      </c>
      <c r="F50" s="148">
        <f>160/4*1000000</f>
        <v>40000000</v>
      </c>
      <c r="G50" s="148">
        <f>69/4*1000000</f>
        <v>17250000</v>
      </c>
      <c r="H50" s="148">
        <f>71/4*1000000</f>
        <v>17750000</v>
      </c>
      <c r="I50" s="149">
        <f>60/4*1000000</f>
        <v>15000000</v>
      </c>
      <c r="J50" s="89"/>
      <c r="K50" s="89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8"/>
      <c r="X50" s="99"/>
      <c r="Y50" s="99"/>
      <c r="Z50" s="99"/>
      <c r="AA50" s="99"/>
      <c r="AB50" s="99"/>
      <c r="AC50" s="99"/>
      <c r="AD50" s="99"/>
      <c r="AE50" s="99"/>
      <c r="AF50" s="96"/>
      <c r="AG50" s="96"/>
      <c r="AH50" s="96"/>
      <c r="AI50" s="96"/>
      <c r="AJ50" s="96"/>
      <c r="AK50" s="96"/>
      <c r="AL50" s="96"/>
    </row>
    <row r="51" spans="2:38" x14ac:dyDescent="0.25"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8"/>
      <c r="X51" s="99"/>
      <c r="Y51" s="99"/>
      <c r="Z51" s="99"/>
      <c r="AA51" s="99"/>
      <c r="AB51" s="99"/>
      <c r="AC51" s="99"/>
      <c r="AD51" s="99"/>
      <c r="AE51" s="99"/>
      <c r="AF51" s="96"/>
      <c r="AG51" s="96"/>
      <c r="AH51" s="96"/>
      <c r="AI51" s="96"/>
      <c r="AJ51" s="96"/>
      <c r="AK51" s="96"/>
      <c r="AL51" s="96"/>
    </row>
    <row r="52" spans="2:38" x14ac:dyDescent="0.25">
      <c r="B52" s="244"/>
      <c r="C52" s="244"/>
      <c r="D52" s="244"/>
      <c r="E52" s="244"/>
      <c r="F52" s="244"/>
      <c r="G52" s="244"/>
      <c r="H52" s="244"/>
      <c r="I52" s="244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8"/>
      <c r="X52" s="99"/>
      <c r="Y52" s="99"/>
      <c r="Z52" s="99"/>
      <c r="AA52" s="99"/>
      <c r="AB52" s="99"/>
      <c r="AC52" s="99"/>
      <c r="AD52" s="99"/>
      <c r="AE52" s="99"/>
      <c r="AF52" s="96"/>
      <c r="AG52" s="96"/>
      <c r="AH52" s="96"/>
      <c r="AI52" s="96"/>
      <c r="AJ52" s="96"/>
      <c r="AK52" s="96"/>
      <c r="AL52" s="96"/>
    </row>
    <row r="53" spans="2:38" x14ac:dyDescent="0.25">
      <c r="B53" s="134"/>
      <c r="C53" s="134"/>
      <c r="D53" s="134"/>
      <c r="E53" s="134"/>
      <c r="F53" s="134"/>
      <c r="G53" s="134"/>
      <c r="H53" s="134"/>
      <c r="I53" s="134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8"/>
      <c r="X53" s="99"/>
      <c r="Y53" s="99"/>
      <c r="Z53" s="99"/>
      <c r="AA53" s="99"/>
      <c r="AB53" s="99"/>
      <c r="AC53" s="99"/>
      <c r="AD53" s="99"/>
      <c r="AE53" s="99"/>
      <c r="AF53" s="96"/>
      <c r="AG53" s="96"/>
      <c r="AH53" s="96"/>
      <c r="AI53" s="96"/>
      <c r="AJ53" s="96"/>
      <c r="AK53" s="96"/>
      <c r="AL53" s="96"/>
    </row>
    <row r="54" spans="2:38" x14ac:dyDescent="0.25">
      <c r="B54" s="134"/>
      <c r="C54" s="134"/>
      <c r="D54" s="134"/>
      <c r="E54" s="134"/>
      <c r="F54" s="134"/>
      <c r="G54" s="134"/>
      <c r="H54" s="134"/>
      <c r="I54" s="134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8"/>
      <c r="X54" s="99"/>
      <c r="Y54" s="99"/>
      <c r="Z54" s="99"/>
      <c r="AA54" s="99"/>
      <c r="AB54" s="99"/>
      <c r="AC54" s="99"/>
      <c r="AD54" s="99"/>
      <c r="AE54" s="99"/>
      <c r="AF54" s="96"/>
      <c r="AG54" s="96"/>
      <c r="AH54" s="96"/>
      <c r="AI54" s="96"/>
      <c r="AJ54" s="96"/>
      <c r="AK54" s="96"/>
      <c r="AL54" s="96"/>
    </row>
    <row r="55" spans="2:38" x14ac:dyDescent="0.25">
      <c r="B55" s="134"/>
      <c r="C55" s="134"/>
      <c r="D55" s="134"/>
      <c r="E55" s="134"/>
      <c r="F55" s="134"/>
      <c r="G55" s="134"/>
      <c r="H55" s="134"/>
      <c r="I55" s="134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8"/>
      <c r="X55" s="99"/>
      <c r="Y55" s="99"/>
      <c r="Z55" s="99"/>
      <c r="AA55" s="99"/>
      <c r="AB55" s="99"/>
      <c r="AC55" s="99"/>
      <c r="AD55" s="99"/>
      <c r="AE55" s="99"/>
      <c r="AF55" s="96"/>
      <c r="AG55" s="96"/>
      <c r="AH55" s="96"/>
      <c r="AI55" s="96"/>
      <c r="AJ55" s="96"/>
      <c r="AK55" s="96"/>
      <c r="AL55" s="96"/>
    </row>
    <row r="56" spans="2:38" x14ac:dyDescent="0.25">
      <c r="B56" s="134"/>
      <c r="C56" s="134"/>
      <c r="D56" s="134"/>
      <c r="E56" s="134"/>
      <c r="F56" s="134"/>
      <c r="G56" s="134"/>
      <c r="H56" s="134"/>
      <c r="I56" s="134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8"/>
      <c r="X56" s="99"/>
      <c r="Y56" s="99"/>
      <c r="Z56" s="99"/>
      <c r="AA56" s="99"/>
      <c r="AB56" s="99"/>
      <c r="AC56" s="99"/>
      <c r="AD56" s="99"/>
      <c r="AE56" s="99"/>
      <c r="AF56" s="96"/>
      <c r="AG56" s="96"/>
      <c r="AH56" s="96"/>
      <c r="AI56" s="96"/>
      <c r="AJ56" s="96"/>
      <c r="AK56" s="96"/>
      <c r="AL56" s="96"/>
    </row>
    <row r="57" spans="2:38" x14ac:dyDescent="0.25">
      <c r="B57" s="134"/>
      <c r="C57" s="134"/>
      <c r="D57" s="134"/>
      <c r="E57" s="134"/>
      <c r="F57" s="134"/>
      <c r="G57" s="134"/>
      <c r="H57" s="134"/>
      <c r="I57" s="134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</row>
    <row r="58" spans="2:38" x14ac:dyDescent="0.25">
      <c r="B58" s="134"/>
      <c r="C58" s="134"/>
      <c r="D58" s="134"/>
      <c r="E58" s="134"/>
      <c r="F58" s="134"/>
      <c r="G58" s="134"/>
      <c r="H58" s="134"/>
      <c r="I58" s="134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</row>
    <row r="59" spans="2:38" x14ac:dyDescent="0.25">
      <c r="B59" s="134"/>
      <c r="C59" s="134"/>
      <c r="D59" s="134"/>
      <c r="E59" s="134"/>
      <c r="F59" s="134"/>
      <c r="G59" s="134"/>
      <c r="H59" s="134"/>
      <c r="I59" s="134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119"/>
      <c r="X59" s="119"/>
      <c r="Y59" s="119"/>
      <c r="Z59" s="119"/>
      <c r="AA59" s="119"/>
      <c r="AB59" s="119"/>
      <c r="AC59" s="119"/>
      <c r="AD59" s="119"/>
      <c r="AE59" s="119"/>
      <c r="AF59" s="96"/>
      <c r="AG59" s="98"/>
      <c r="AH59" s="99"/>
      <c r="AI59" s="96"/>
      <c r="AJ59" s="96"/>
      <c r="AK59" s="96"/>
      <c r="AL59" s="96"/>
    </row>
    <row r="60" spans="2:38" x14ac:dyDescent="0.25">
      <c r="B60" s="134"/>
      <c r="C60" s="134"/>
      <c r="D60" s="134"/>
      <c r="E60" s="134"/>
      <c r="F60" s="134"/>
      <c r="G60" s="134"/>
      <c r="H60" s="134"/>
      <c r="I60" s="134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6"/>
      <c r="X60" s="165"/>
      <c r="Y60" s="95"/>
      <c r="Z60" s="95"/>
      <c r="AA60" s="95"/>
      <c r="AB60" s="95"/>
      <c r="AC60" s="95"/>
      <c r="AD60" s="95"/>
      <c r="AE60" s="95"/>
      <c r="AF60" s="96"/>
      <c r="AG60" s="98"/>
      <c r="AH60" s="99"/>
      <c r="AI60" s="96"/>
      <c r="AJ60" s="96"/>
      <c r="AK60" s="96"/>
      <c r="AL60" s="96"/>
    </row>
    <row r="61" spans="2:38" x14ac:dyDescent="0.25">
      <c r="B61" s="134"/>
      <c r="C61" s="134"/>
      <c r="D61" s="134"/>
      <c r="E61" s="134"/>
      <c r="F61" s="134"/>
      <c r="G61" s="134"/>
      <c r="H61" s="134"/>
      <c r="I61" s="134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8"/>
      <c r="X61" s="99"/>
      <c r="Y61" s="99"/>
      <c r="Z61" s="99"/>
      <c r="AA61" s="99"/>
      <c r="AB61" s="99"/>
      <c r="AC61" s="99"/>
      <c r="AD61" s="99"/>
      <c r="AE61" s="99"/>
      <c r="AF61" s="96"/>
      <c r="AG61" s="98"/>
      <c r="AH61" s="99"/>
      <c r="AI61" s="96"/>
      <c r="AJ61" s="96"/>
      <c r="AK61" s="96"/>
      <c r="AL61" s="96"/>
    </row>
    <row r="62" spans="2:38" x14ac:dyDescent="0.25">
      <c r="B62" s="134"/>
      <c r="C62" s="134"/>
      <c r="D62" s="134"/>
      <c r="E62" s="134"/>
      <c r="F62" s="134"/>
      <c r="G62" s="134"/>
      <c r="H62" s="134"/>
      <c r="I62" s="134"/>
      <c r="J62" s="90"/>
      <c r="K62" s="90"/>
      <c r="L62" s="90"/>
      <c r="M62" s="158"/>
      <c r="N62" s="158"/>
      <c r="O62" s="158"/>
      <c r="P62" s="158"/>
      <c r="Q62" s="158"/>
      <c r="R62" s="158"/>
      <c r="S62" s="158"/>
      <c r="T62" s="158"/>
      <c r="U62" s="90"/>
      <c r="V62" s="90"/>
      <c r="W62" s="98"/>
      <c r="X62" s="99"/>
      <c r="Y62" s="99"/>
      <c r="Z62" s="99"/>
      <c r="AA62" s="99"/>
      <c r="AB62" s="99"/>
      <c r="AC62" s="99"/>
      <c r="AD62" s="99"/>
      <c r="AE62" s="99"/>
      <c r="AF62" s="96"/>
      <c r="AG62" s="98"/>
      <c r="AH62" s="99"/>
      <c r="AI62" s="96"/>
      <c r="AJ62" s="96"/>
      <c r="AK62" s="96"/>
      <c r="AL62" s="96"/>
    </row>
    <row r="63" spans="2:38" x14ac:dyDescent="0.25">
      <c r="B63" s="134"/>
      <c r="C63" s="134"/>
      <c r="D63" s="134"/>
      <c r="E63" s="134"/>
      <c r="F63" s="134"/>
      <c r="G63" s="134"/>
      <c r="H63" s="134"/>
      <c r="I63" s="134"/>
      <c r="J63" s="90"/>
      <c r="K63" s="90"/>
      <c r="L63" s="90"/>
      <c r="M63" s="89"/>
      <c r="N63" s="89"/>
      <c r="O63" s="89"/>
      <c r="P63" s="89"/>
      <c r="Q63" s="89"/>
      <c r="R63" s="89"/>
      <c r="S63" s="89"/>
      <c r="T63" s="89"/>
      <c r="U63" s="90"/>
      <c r="V63" s="90"/>
      <c r="W63" s="98"/>
      <c r="X63" s="99"/>
      <c r="Y63" s="99"/>
      <c r="Z63" s="99"/>
      <c r="AA63" s="99"/>
      <c r="AB63" s="99"/>
      <c r="AC63" s="99"/>
      <c r="AD63" s="99"/>
      <c r="AE63" s="99"/>
      <c r="AF63" s="96"/>
      <c r="AG63" s="98"/>
      <c r="AH63" s="99"/>
      <c r="AI63" s="96"/>
      <c r="AJ63" s="96"/>
      <c r="AK63" s="96"/>
      <c r="AL63" s="96"/>
    </row>
    <row r="64" spans="2:38" x14ac:dyDescent="0.25">
      <c r="B64" s="134"/>
      <c r="C64" s="134"/>
      <c r="D64" s="134"/>
      <c r="E64" s="134"/>
      <c r="F64" s="134"/>
      <c r="G64" s="134"/>
      <c r="H64" s="134"/>
      <c r="I64" s="134"/>
      <c r="J64" s="89"/>
      <c r="K64" s="89"/>
      <c r="L64" s="90"/>
      <c r="M64" s="89"/>
      <c r="N64" s="89"/>
      <c r="O64" s="89"/>
      <c r="P64" s="89"/>
      <c r="Q64" s="89"/>
      <c r="R64" s="89"/>
      <c r="S64" s="89"/>
      <c r="T64" s="89"/>
      <c r="U64" s="90"/>
      <c r="V64" s="90"/>
      <c r="W64" s="98"/>
      <c r="X64" s="99"/>
      <c r="Y64" s="99"/>
      <c r="Z64" s="99"/>
      <c r="AA64" s="99"/>
      <c r="AB64" s="99"/>
      <c r="AC64" s="99"/>
      <c r="AD64" s="99"/>
      <c r="AE64" s="99"/>
      <c r="AF64" s="96"/>
      <c r="AG64" s="98"/>
      <c r="AH64" s="99"/>
      <c r="AI64" s="96"/>
      <c r="AJ64" s="96"/>
      <c r="AK64" s="96"/>
      <c r="AL64" s="96"/>
    </row>
    <row r="65" spans="2:38" x14ac:dyDescent="0.25">
      <c r="B65" s="134"/>
      <c r="C65" s="134"/>
      <c r="D65" s="134"/>
      <c r="E65" s="134"/>
      <c r="F65" s="134"/>
      <c r="G65" s="134"/>
      <c r="H65" s="134"/>
      <c r="I65" s="134"/>
      <c r="J65" s="89"/>
      <c r="K65" s="89"/>
      <c r="L65" s="90"/>
      <c r="M65" s="89"/>
      <c r="N65" s="89"/>
      <c r="O65" s="89"/>
      <c r="P65" s="89"/>
      <c r="Q65" s="89"/>
      <c r="R65" s="89"/>
      <c r="S65" s="89"/>
      <c r="T65" s="89"/>
      <c r="U65" s="90"/>
      <c r="V65" s="90"/>
      <c r="W65" s="98"/>
      <c r="X65" s="99"/>
      <c r="Y65" s="99"/>
      <c r="Z65" s="99"/>
      <c r="AA65" s="99"/>
      <c r="AB65" s="99"/>
      <c r="AC65" s="99"/>
      <c r="AD65" s="99"/>
      <c r="AE65" s="99"/>
      <c r="AF65" s="96"/>
      <c r="AG65" s="98"/>
      <c r="AH65" s="99"/>
      <c r="AI65" s="96"/>
      <c r="AJ65" s="96"/>
      <c r="AK65" s="96"/>
      <c r="AL65" s="96"/>
    </row>
    <row r="66" spans="2:38" x14ac:dyDescent="0.25">
      <c r="B66" s="134"/>
      <c r="C66" s="134"/>
      <c r="D66" s="134"/>
      <c r="E66" s="134"/>
      <c r="F66" s="134"/>
      <c r="G66" s="134"/>
      <c r="H66" s="134"/>
      <c r="I66" s="134"/>
      <c r="J66" s="89"/>
      <c r="K66" s="89"/>
      <c r="L66" s="90"/>
      <c r="M66" s="89"/>
      <c r="N66" s="89"/>
      <c r="O66" s="89"/>
      <c r="P66" s="89"/>
      <c r="Q66" s="89"/>
      <c r="R66" s="89"/>
      <c r="S66" s="89"/>
      <c r="T66" s="89"/>
      <c r="U66" s="90"/>
      <c r="V66" s="90"/>
      <c r="W66" s="98"/>
      <c r="X66" s="99"/>
      <c r="Y66" s="99"/>
      <c r="Z66" s="99"/>
      <c r="AA66" s="99"/>
      <c r="AB66" s="99"/>
      <c r="AC66" s="99"/>
      <c r="AD66" s="99"/>
      <c r="AE66" s="99"/>
      <c r="AF66" s="96"/>
      <c r="AG66" s="96"/>
      <c r="AH66" s="96"/>
      <c r="AI66" s="96"/>
      <c r="AJ66" s="96"/>
      <c r="AK66" s="96"/>
      <c r="AL66" s="96"/>
    </row>
    <row r="67" spans="2:38" x14ac:dyDescent="0.25">
      <c r="B67" s="134"/>
      <c r="C67" s="134"/>
      <c r="D67" s="134"/>
      <c r="E67" s="134"/>
      <c r="F67" s="134"/>
      <c r="G67" s="134"/>
      <c r="H67" s="134"/>
      <c r="I67" s="134"/>
      <c r="J67" s="89"/>
      <c r="K67" s="89"/>
      <c r="L67" s="90"/>
      <c r="M67" s="89"/>
      <c r="N67" s="89"/>
      <c r="O67" s="89"/>
      <c r="P67" s="89"/>
      <c r="Q67" s="89"/>
      <c r="R67" s="89"/>
      <c r="S67" s="89"/>
      <c r="T67" s="89"/>
      <c r="U67" s="90"/>
      <c r="V67" s="90"/>
      <c r="W67" s="98"/>
      <c r="X67" s="99"/>
      <c r="Y67" s="99"/>
      <c r="Z67" s="99"/>
      <c r="AA67" s="99"/>
      <c r="AB67" s="99"/>
      <c r="AC67" s="99"/>
      <c r="AD67" s="99"/>
      <c r="AE67" s="99"/>
      <c r="AF67" s="96"/>
      <c r="AG67" s="96"/>
      <c r="AH67" s="96"/>
      <c r="AI67" s="96"/>
      <c r="AJ67" s="96"/>
      <c r="AK67" s="96"/>
      <c r="AL67" s="96"/>
    </row>
    <row r="68" spans="2:38" x14ac:dyDescent="0.25">
      <c r="B68" s="134"/>
      <c r="C68" s="134"/>
      <c r="D68" s="134"/>
      <c r="E68" s="134"/>
      <c r="F68" s="134"/>
      <c r="G68" s="134"/>
      <c r="H68" s="134"/>
      <c r="I68" s="134"/>
      <c r="J68" s="89"/>
      <c r="K68" s="89"/>
      <c r="L68" s="90"/>
      <c r="M68" s="89"/>
      <c r="N68" s="89"/>
      <c r="O68" s="89"/>
      <c r="P68" s="89"/>
      <c r="Q68" s="89"/>
      <c r="R68" s="89"/>
      <c r="S68" s="89"/>
      <c r="T68" s="89"/>
      <c r="U68" s="90"/>
      <c r="V68" s="90"/>
      <c r="W68" s="98"/>
      <c r="X68" s="99"/>
      <c r="Y68" s="99"/>
      <c r="Z68" s="99"/>
      <c r="AA68" s="99"/>
      <c r="AB68" s="99"/>
      <c r="AC68" s="99"/>
      <c r="AD68" s="99"/>
      <c r="AE68" s="99"/>
      <c r="AF68" s="96"/>
      <c r="AG68" s="96"/>
      <c r="AH68" s="96"/>
      <c r="AI68" s="96"/>
      <c r="AJ68" s="96"/>
      <c r="AK68" s="96"/>
      <c r="AL68" s="96"/>
    </row>
    <row r="69" spans="2:38" x14ac:dyDescent="0.25">
      <c r="B69" s="134"/>
      <c r="C69" s="134"/>
      <c r="D69" s="134"/>
      <c r="E69" s="134"/>
      <c r="F69" s="134"/>
      <c r="G69" s="134"/>
      <c r="H69" s="134"/>
      <c r="I69" s="134"/>
      <c r="J69" s="89"/>
      <c r="K69" s="89"/>
      <c r="L69" s="90"/>
      <c r="M69" s="89"/>
      <c r="N69" s="89"/>
      <c r="O69" s="89"/>
      <c r="P69" s="89"/>
      <c r="Q69" s="89"/>
      <c r="R69" s="89"/>
      <c r="S69" s="89"/>
      <c r="T69" s="89"/>
      <c r="U69" s="90"/>
      <c r="V69" s="90"/>
      <c r="W69" s="98"/>
      <c r="X69" s="99"/>
      <c r="Y69" s="99"/>
      <c r="Z69" s="99"/>
      <c r="AA69" s="99"/>
      <c r="AB69" s="99"/>
      <c r="AC69" s="99"/>
      <c r="AD69" s="99"/>
      <c r="AE69" s="99"/>
      <c r="AF69" s="96"/>
      <c r="AG69" s="96"/>
      <c r="AH69" s="96"/>
      <c r="AI69" s="96"/>
      <c r="AJ69" s="96"/>
      <c r="AK69" s="96"/>
      <c r="AL69" s="96"/>
    </row>
    <row r="70" spans="2:38" x14ac:dyDescent="0.25">
      <c r="B70" s="134"/>
      <c r="C70" s="134"/>
      <c r="D70" s="134"/>
      <c r="E70" s="134"/>
      <c r="F70" s="134"/>
      <c r="G70" s="134"/>
      <c r="H70" s="134"/>
      <c r="I70" s="134"/>
      <c r="J70" s="89"/>
      <c r="K70" s="89"/>
      <c r="L70" s="90"/>
      <c r="M70" s="89"/>
      <c r="N70" s="89"/>
      <c r="O70" s="89"/>
      <c r="P70" s="89"/>
      <c r="Q70" s="89"/>
      <c r="R70" s="89"/>
      <c r="S70" s="89"/>
      <c r="T70" s="89"/>
      <c r="U70" s="90"/>
      <c r="V70" s="90"/>
      <c r="W70" s="98"/>
      <c r="X70" s="99"/>
      <c r="Y70" s="99"/>
      <c r="Z70" s="99"/>
      <c r="AA70" s="99"/>
      <c r="AB70" s="99"/>
      <c r="AC70" s="99"/>
      <c r="AD70" s="99"/>
      <c r="AE70" s="99"/>
      <c r="AF70" s="96"/>
      <c r="AG70" s="96"/>
      <c r="AH70" s="96"/>
      <c r="AI70" s="96"/>
      <c r="AJ70" s="96"/>
      <c r="AK70" s="96"/>
      <c r="AL70" s="96"/>
    </row>
    <row r="71" spans="2:38" x14ac:dyDescent="0.25">
      <c r="B71" s="134"/>
      <c r="C71" s="134"/>
      <c r="D71" s="134"/>
      <c r="E71" s="134"/>
      <c r="F71" s="134"/>
      <c r="G71" s="134"/>
      <c r="H71" s="134"/>
      <c r="I71" s="134"/>
      <c r="J71" s="89"/>
      <c r="K71" s="89"/>
      <c r="L71" s="90"/>
      <c r="M71" s="89"/>
      <c r="N71" s="89"/>
      <c r="O71" s="89"/>
      <c r="P71" s="89"/>
      <c r="Q71" s="89"/>
      <c r="R71" s="89"/>
      <c r="S71" s="89"/>
      <c r="T71" s="89"/>
      <c r="U71" s="90"/>
      <c r="V71" s="90"/>
      <c r="W71" s="98"/>
      <c r="X71" s="99"/>
      <c r="Y71" s="99"/>
      <c r="Z71" s="99"/>
      <c r="AA71" s="99"/>
      <c r="AB71" s="99"/>
      <c r="AC71" s="99"/>
      <c r="AD71" s="99"/>
      <c r="AE71" s="99"/>
      <c r="AF71" s="96"/>
      <c r="AG71" s="96"/>
      <c r="AH71" s="96"/>
      <c r="AI71" s="96"/>
      <c r="AJ71" s="96"/>
      <c r="AK71" s="96"/>
      <c r="AL71" s="96"/>
    </row>
    <row r="72" spans="2:38" x14ac:dyDescent="0.25">
      <c r="B72" s="134"/>
      <c r="C72" s="134"/>
      <c r="D72" s="134"/>
      <c r="E72" s="134"/>
      <c r="F72" s="134"/>
      <c r="G72" s="134"/>
      <c r="H72" s="134"/>
      <c r="I72" s="134"/>
      <c r="J72" s="89"/>
      <c r="K72" s="89"/>
      <c r="L72" s="90"/>
      <c r="M72" s="89"/>
      <c r="N72" s="89"/>
      <c r="O72" s="89"/>
      <c r="P72" s="89"/>
      <c r="Q72" s="89"/>
      <c r="R72" s="89"/>
      <c r="S72" s="89"/>
      <c r="T72" s="89"/>
      <c r="U72" s="90"/>
      <c r="V72" s="90"/>
      <c r="W72" s="98"/>
      <c r="X72" s="99"/>
      <c r="Y72" s="99"/>
      <c r="Z72" s="99"/>
      <c r="AA72" s="99"/>
      <c r="AB72" s="99"/>
      <c r="AC72" s="99"/>
      <c r="AD72" s="99"/>
      <c r="AE72" s="99"/>
      <c r="AF72" s="96"/>
      <c r="AG72" s="96"/>
      <c r="AH72" s="96"/>
      <c r="AI72" s="96"/>
      <c r="AJ72" s="96"/>
      <c r="AK72" s="96"/>
      <c r="AL72" s="96"/>
    </row>
    <row r="73" spans="2:38" x14ac:dyDescent="0.25">
      <c r="B73" s="246"/>
      <c r="C73" s="134"/>
      <c r="D73" s="134"/>
      <c r="E73" s="134"/>
      <c r="F73" s="134"/>
      <c r="G73" s="134"/>
      <c r="H73" s="134"/>
      <c r="I73" s="134"/>
      <c r="J73" s="89"/>
      <c r="K73" s="89"/>
      <c r="L73" s="90"/>
      <c r="M73" s="89"/>
      <c r="N73" s="89"/>
      <c r="O73" s="89"/>
      <c r="P73" s="89"/>
      <c r="Q73" s="89"/>
      <c r="R73" s="89"/>
      <c r="S73" s="89"/>
      <c r="T73" s="89"/>
      <c r="U73" s="90"/>
      <c r="V73" s="90"/>
      <c r="W73" s="98"/>
      <c r="X73" s="99"/>
      <c r="Y73" s="99"/>
      <c r="Z73" s="99"/>
      <c r="AA73" s="99"/>
      <c r="AB73" s="99"/>
      <c r="AC73" s="99"/>
      <c r="AD73" s="99"/>
      <c r="AE73" s="99"/>
      <c r="AF73" s="96"/>
      <c r="AG73" s="96"/>
      <c r="AH73" s="96"/>
      <c r="AI73" s="96"/>
      <c r="AJ73" s="96"/>
      <c r="AK73" s="96"/>
      <c r="AL73" s="96"/>
    </row>
    <row r="74" spans="2:38" x14ac:dyDescent="0.25">
      <c r="J74" s="89"/>
      <c r="K74" s="89"/>
      <c r="L74" s="90"/>
      <c r="M74" s="89"/>
      <c r="N74" s="89"/>
      <c r="O74" s="89"/>
      <c r="P74" s="89"/>
      <c r="Q74" s="89"/>
      <c r="R74" s="89"/>
      <c r="S74" s="89"/>
      <c r="T74" s="89"/>
      <c r="U74" s="90"/>
      <c r="V74" s="90"/>
      <c r="W74" s="98"/>
      <c r="X74" s="99"/>
      <c r="Y74" s="99"/>
      <c r="Z74" s="99"/>
      <c r="AA74" s="99"/>
      <c r="AB74" s="99"/>
      <c r="AC74" s="99"/>
      <c r="AD74" s="99"/>
      <c r="AE74" s="99"/>
      <c r="AF74" s="96"/>
      <c r="AG74" s="96"/>
      <c r="AH74" s="96"/>
      <c r="AI74" s="96"/>
      <c r="AJ74" s="96"/>
      <c r="AK74" s="96"/>
      <c r="AL74" s="96"/>
    </row>
    <row r="75" spans="2:38" x14ac:dyDescent="0.25">
      <c r="J75" s="89"/>
      <c r="K75" s="89"/>
      <c r="L75" s="90"/>
      <c r="M75" s="89"/>
      <c r="N75" s="89"/>
      <c r="O75" s="89"/>
      <c r="P75" s="89"/>
      <c r="Q75" s="89"/>
      <c r="R75" s="89"/>
      <c r="S75" s="89"/>
      <c r="T75" s="89"/>
      <c r="U75" s="90"/>
      <c r="V75" s="90"/>
      <c r="W75" s="98"/>
      <c r="X75" s="99"/>
      <c r="Y75" s="99"/>
      <c r="Z75" s="99"/>
      <c r="AA75" s="99"/>
      <c r="AB75" s="99"/>
      <c r="AC75" s="99"/>
      <c r="AD75" s="99"/>
      <c r="AE75" s="99"/>
      <c r="AF75" s="96"/>
      <c r="AG75" s="96"/>
      <c r="AH75" s="96"/>
      <c r="AI75" s="96"/>
      <c r="AJ75" s="96"/>
      <c r="AK75" s="96"/>
      <c r="AL75" s="96"/>
    </row>
    <row r="76" spans="2:38" x14ac:dyDescent="0.25">
      <c r="J76" s="89"/>
      <c r="K76" s="89"/>
      <c r="L76" s="90"/>
      <c r="M76" s="89"/>
      <c r="N76" s="89"/>
      <c r="O76" s="89"/>
      <c r="P76" s="89"/>
      <c r="Q76" s="89"/>
      <c r="R76" s="89"/>
      <c r="S76" s="89"/>
      <c r="T76" s="89"/>
      <c r="U76" s="90"/>
      <c r="V76" s="90"/>
      <c r="W76" s="98"/>
      <c r="X76" s="99"/>
      <c r="Y76" s="99"/>
      <c r="Z76" s="99"/>
      <c r="AA76" s="99"/>
      <c r="AB76" s="99"/>
      <c r="AC76" s="99"/>
      <c r="AD76" s="99"/>
      <c r="AE76" s="99"/>
      <c r="AF76" s="96"/>
      <c r="AG76" s="96"/>
      <c r="AH76" s="96"/>
      <c r="AI76" s="96"/>
      <c r="AJ76" s="96"/>
      <c r="AK76" s="96"/>
      <c r="AL76" s="96"/>
    </row>
    <row r="77" spans="2:38" x14ac:dyDescent="0.25">
      <c r="J77" s="90"/>
      <c r="K77" s="90"/>
      <c r="L77" s="90"/>
      <c r="M77" s="89"/>
      <c r="N77" s="89"/>
      <c r="O77" s="89"/>
      <c r="P77" s="89"/>
      <c r="Q77" s="89"/>
      <c r="R77" s="89"/>
      <c r="S77" s="89"/>
      <c r="T77" s="89"/>
      <c r="U77" s="90"/>
      <c r="V77" s="90"/>
      <c r="W77" s="98"/>
      <c r="X77" s="99"/>
      <c r="Y77" s="99"/>
      <c r="Z77" s="99"/>
      <c r="AA77" s="99"/>
      <c r="AB77" s="99"/>
      <c r="AC77" s="99"/>
      <c r="AD77" s="99"/>
      <c r="AE77" s="99"/>
      <c r="AF77" s="96"/>
      <c r="AG77" s="96"/>
      <c r="AH77" s="96"/>
      <c r="AI77" s="96"/>
      <c r="AJ77" s="96"/>
      <c r="AK77" s="96"/>
      <c r="AL77" s="96"/>
    </row>
    <row r="78" spans="2:38" x14ac:dyDescent="0.25">
      <c r="J78" s="90"/>
      <c r="K78" s="90"/>
      <c r="L78" s="90"/>
      <c r="M78" s="89"/>
      <c r="N78" s="89"/>
      <c r="O78" s="89"/>
      <c r="P78" s="89"/>
      <c r="Q78" s="89"/>
      <c r="R78" s="89"/>
      <c r="S78" s="89"/>
      <c r="T78" s="89"/>
      <c r="U78" s="90"/>
      <c r="V78" s="90"/>
      <c r="W78" s="98"/>
      <c r="X78" s="99"/>
      <c r="Y78" s="99"/>
      <c r="Z78" s="99"/>
      <c r="AA78" s="99"/>
      <c r="AB78" s="99"/>
      <c r="AC78" s="99"/>
      <c r="AD78" s="99"/>
      <c r="AE78" s="99"/>
      <c r="AF78" s="96"/>
      <c r="AG78" s="96"/>
      <c r="AH78" s="96"/>
      <c r="AI78" s="96"/>
      <c r="AJ78" s="96"/>
      <c r="AK78" s="96"/>
      <c r="AL78" s="96"/>
    </row>
    <row r="79" spans="2:38" x14ac:dyDescent="0.25">
      <c r="J79" s="90"/>
      <c r="K79" s="90"/>
      <c r="L79" s="90"/>
      <c r="M79" s="89"/>
      <c r="N79" s="89"/>
      <c r="O79" s="89"/>
      <c r="P79" s="89"/>
      <c r="Q79" s="89"/>
      <c r="R79" s="89"/>
      <c r="S79" s="89"/>
      <c r="T79" s="89"/>
      <c r="U79" s="90"/>
      <c r="V79" s="90"/>
      <c r="W79" s="98"/>
      <c r="X79" s="99"/>
      <c r="Y79" s="99"/>
      <c r="Z79" s="99"/>
      <c r="AA79" s="99"/>
      <c r="AB79" s="99"/>
      <c r="AC79" s="99"/>
      <c r="AD79" s="99"/>
      <c r="AE79" s="99"/>
      <c r="AF79" s="96"/>
      <c r="AG79" s="96"/>
      <c r="AH79" s="96"/>
      <c r="AI79" s="96"/>
      <c r="AJ79" s="96"/>
      <c r="AK79" s="96"/>
      <c r="AL79" s="96"/>
    </row>
    <row r="80" spans="2:38" x14ac:dyDescent="0.25">
      <c r="J80" s="90"/>
      <c r="K80" s="90"/>
      <c r="L80" s="90"/>
      <c r="M80" s="89"/>
      <c r="N80" s="89"/>
      <c r="O80" s="89"/>
      <c r="P80" s="89"/>
      <c r="Q80" s="89"/>
      <c r="R80" s="89"/>
      <c r="S80" s="89"/>
      <c r="T80" s="89"/>
      <c r="U80" s="90"/>
      <c r="V80" s="90"/>
      <c r="W80" s="98"/>
      <c r="X80" s="99"/>
      <c r="Y80" s="99"/>
      <c r="Z80" s="99"/>
      <c r="AA80" s="99"/>
      <c r="AB80" s="99"/>
      <c r="AC80" s="99"/>
      <c r="AD80" s="99"/>
      <c r="AE80" s="99"/>
      <c r="AF80" s="96"/>
      <c r="AG80" s="96"/>
      <c r="AH80" s="96"/>
      <c r="AI80" s="96"/>
      <c r="AJ80" s="96"/>
      <c r="AK80" s="96"/>
      <c r="AL80" s="96"/>
    </row>
    <row r="81" spans="10:38" x14ac:dyDescent="0.25">
      <c r="J81" s="90"/>
      <c r="K81" s="90"/>
      <c r="L81" s="90"/>
      <c r="M81" s="89"/>
      <c r="N81" s="89"/>
      <c r="O81" s="89"/>
      <c r="P81" s="89"/>
      <c r="Q81" s="89"/>
      <c r="R81" s="89"/>
      <c r="S81" s="89"/>
      <c r="T81" s="89"/>
      <c r="U81" s="90"/>
      <c r="V81" s="90"/>
      <c r="W81" s="98"/>
      <c r="X81" s="99"/>
      <c r="Y81" s="99"/>
      <c r="Z81" s="99"/>
      <c r="AA81" s="99"/>
      <c r="AB81" s="99"/>
      <c r="AC81" s="99"/>
      <c r="AD81" s="99"/>
      <c r="AE81" s="99"/>
      <c r="AF81" s="96"/>
      <c r="AG81" s="96"/>
      <c r="AH81" s="96"/>
      <c r="AI81" s="96"/>
      <c r="AJ81" s="96"/>
      <c r="AK81" s="96"/>
      <c r="AL81" s="96"/>
    </row>
    <row r="82" spans="10:38" x14ac:dyDescent="0.25">
      <c r="J82" s="90"/>
      <c r="K82" s="90"/>
      <c r="L82" s="90"/>
      <c r="M82" s="89"/>
      <c r="N82" s="89"/>
      <c r="O82" s="89"/>
      <c r="P82" s="89"/>
      <c r="Q82" s="89"/>
      <c r="R82" s="89"/>
      <c r="S82" s="89"/>
      <c r="T82" s="89"/>
      <c r="U82" s="90"/>
      <c r="V82" s="90"/>
      <c r="W82" s="98"/>
      <c r="X82" s="99"/>
      <c r="Y82" s="99"/>
      <c r="Z82" s="99"/>
      <c r="AA82" s="99"/>
      <c r="AB82" s="99"/>
      <c r="AC82" s="99"/>
      <c r="AD82" s="99"/>
      <c r="AE82" s="99"/>
      <c r="AF82" s="96"/>
      <c r="AG82" s="96"/>
      <c r="AH82" s="96"/>
      <c r="AI82" s="96"/>
      <c r="AJ82" s="96"/>
      <c r="AK82" s="96"/>
      <c r="AL82" s="96"/>
    </row>
    <row r="83" spans="10:38" x14ac:dyDescent="0.25">
      <c r="J83" s="90"/>
      <c r="K83" s="90"/>
      <c r="L83" s="90"/>
      <c r="M83" s="89"/>
      <c r="N83" s="89"/>
      <c r="O83" s="89"/>
      <c r="P83" s="89"/>
      <c r="Q83" s="89"/>
      <c r="R83" s="89"/>
      <c r="S83" s="89"/>
      <c r="T83" s="89"/>
      <c r="U83" s="90"/>
      <c r="V83" s="90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</row>
    <row r="84" spans="10:38" x14ac:dyDescent="0.25"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</row>
    <row r="85" spans="10:38" x14ac:dyDescent="0.25"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</row>
    <row r="86" spans="10:38" x14ac:dyDescent="0.25"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</row>
    <row r="87" spans="10:38" x14ac:dyDescent="0.25"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</row>
  </sheetData>
  <mergeCells count="2">
    <mergeCell ref="B4:I4"/>
    <mergeCell ref="B29:I2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11AC-92FA-4854-9B1D-50BB2475364B}">
  <dimension ref="B1:BH103"/>
  <sheetViews>
    <sheetView zoomScale="68" zoomScaleNormal="69" workbookViewId="0">
      <selection activeCell="H6" sqref="H6"/>
    </sheetView>
  </sheetViews>
  <sheetFormatPr defaultRowHeight="15" x14ac:dyDescent="0.25"/>
  <cols>
    <col min="4" max="4" width="11.7109375" customWidth="1"/>
    <col min="5" max="5" width="20.28515625" customWidth="1"/>
    <col min="6" max="6" width="19.5703125" customWidth="1"/>
    <col min="9" max="9" width="11.42578125" customWidth="1"/>
    <col min="10" max="10" width="19.5703125" customWidth="1"/>
    <col min="11" max="11" width="19.28515625" customWidth="1"/>
    <col min="12" max="12" width="20.7109375" customWidth="1"/>
    <col min="13" max="13" width="23.28515625" customWidth="1"/>
    <col min="17" max="17" width="15.7109375" customWidth="1"/>
    <col min="18" max="18" width="19.85546875" customWidth="1"/>
    <col min="19" max="19" width="21" customWidth="1"/>
    <col min="23" max="23" width="8.85546875" customWidth="1"/>
    <col min="24" max="24" width="17.5703125" customWidth="1"/>
    <col min="25" max="25" width="21.7109375" customWidth="1"/>
    <col min="26" max="26" width="20" customWidth="1"/>
    <col min="30" max="30" width="15" customWidth="1"/>
    <col min="31" max="31" width="19.7109375" customWidth="1"/>
    <col min="32" max="32" width="23.5703125" customWidth="1"/>
    <col min="33" max="33" width="20.28515625" customWidth="1"/>
    <col min="35" max="35" width="12.5703125" customWidth="1"/>
    <col min="36" max="36" width="18.28515625" customWidth="1"/>
    <col min="37" max="37" width="20.7109375" customWidth="1"/>
    <col min="38" max="38" width="17.42578125" customWidth="1"/>
  </cols>
  <sheetData>
    <row r="1" spans="2:60" x14ac:dyDescent="0.25">
      <c r="B1" s="121" t="s">
        <v>291</v>
      </c>
      <c r="C1" s="5"/>
      <c r="D1" s="5"/>
      <c r="E1" s="5"/>
      <c r="F1" s="5"/>
      <c r="G1" s="5"/>
    </row>
    <row r="2" spans="2:60" x14ac:dyDescent="0.25">
      <c r="B2" s="285" t="s">
        <v>1</v>
      </c>
      <c r="C2" s="285"/>
      <c r="D2" s="285"/>
      <c r="E2" s="285"/>
      <c r="F2" s="285"/>
      <c r="G2" s="5"/>
      <c r="I2" s="286" t="s">
        <v>94</v>
      </c>
      <c r="J2" s="287"/>
      <c r="K2" s="287"/>
      <c r="L2" s="287"/>
      <c r="M2" s="288"/>
      <c r="P2" s="286" t="s">
        <v>96</v>
      </c>
      <c r="Q2" s="287"/>
      <c r="R2" s="287"/>
      <c r="S2" s="288"/>
      <c r="AB2" s="96"/>
      <c r="AC2" s="96"/>
      <c r="AD2" s="115"/>
      <c r="AE2" s="115"/>
      <c r="AF2" s="115"/>
      <c r="AG2" s="115"/>
      <c r="AH2" s="96"/>
      <c r="AI2" s="115"/>
      <c r="AJ2" s="115"/>
      <c r="AK2" s="115"/>
      <c r="AL2" s="115"/>
      <c r="AM2" s="96"/>
      <c r="AN2" s="96"/>
      <c r="AO2" s="96"/>
      <c r="AY2" s="96"/>
      <c r="AZ2" s="139"/>
      <c r="BA2" s="139"/>
      <c r="BB2" s="139"/>
      <c r="BC2" s="139"/>
      <c r="BD2" s="96"/>
      <c r="BE2" s="96"/>
      <c r="BF2" s="96"/>
      <c r="BG2" s="96"/>
      <c r="BH2" s="96"/>
    </row>
    <row r="3" spans="2:60" x14ac:dyDescent="0.25">
      <c r="B3" s="5"/>
      <c r="C3" s="5" t="s">
        <v>239</v>
      </c>
      <c r="D3" s="5" t="s">
        <v>258</v>
      </c>
      <c r="E3" s="5" t="s">
        <v>259</v>
      </c>
      <c r="F3" s="5" t="s">
        <v>260</v>
      </c>
      <c r="G3" s="165"/>
      <c r="I3" s="3" t="s">
        <v>97</v>
      </c>
      <c r="J3" s="138" t="s">
        <v>239</v>
      </c>
      <c r="K3" s="138" t="s">
        <v>258</v>
      </c>
      <c r="L3" s="138" t="s">
        <v>259</v>
      </c>
      <c r="M3" s="6" t="s">
        <v>260</v>
      </c>
      <c r="P3" s="3" t="s">
        <v>239</v>
      </c>
      <c r="Q3" s="91" t="s">
        <v>258</v>
      </c>
      <c r="R3" s="91" t="s">
        <v>259</v>
      </c>
      <c r="S3" s="6" t="s">
        <v>260</v>
      </c>
      <c r="V3" s="115"/>
      <c r="AB3" s="96"/>
      <c r="AC3" s="96"/>
      <c r="AD3" s="165"/>
      <c r="AE3" s="165"/>
      <c r="AF3" s="165"/>
      <c r="AG3" s="165"/>
      <c r="AH3" s="96"/>
      <c r="AI3" s="165"/>
      <c r="AJ3" s="165"/>
      <c r="AK3" s="165"/>
      <c r="AL3" s="165"/>
      <c r="AM3" s="96"/>
      <c r="AN3" s="96"/>
      <c r="AO3" s="96"/>
      <c r="AY3" s="98"/>
      <c r="AZ3" s="139"/>
      <c r="BA3" s="139"/>
      <c r="BB3" s="139"/>
      <c r="BC3" s="139"/>
      <c r="BD3" s="96"/>
      <c r="BE3" s="96"/>
      <c r="BF3" s="96"/>
      <c r="BG3" s="96"/>
      <c r="BH3" s="96"/>
    </row>
    <row r="4" spans="2:60" x14ac:dyDescent="0.25">
      <c r="B4" s="260" t="s">
        <v>58</v>
      </c>
      <c r="C4" s="11">
        <v>9</v>
      </c>
      <c r="D4" s="11">
        <v>8</v>
      </c>
      <c r="E4" s="11">
        <v>0</v>
      </c>
      <c r="F4" s="142">
        <v>0</v>
      </c>
      <c r="G4" s="165"/>
      <c r="I4" s="3">
        <v>5</v>
      </c>
      <c r="J4" s="91">
        <v>0</v>
      </c>
      <c r="K4" s="91"/>
      <c r="L4" s="91"/>
      <c r="M4" s="6"/>
      <c r="N4" s="121" t="s">
        <v>236</v>
      </c>
      <c r="P4" s="194">
        <f>67/4*1000000</f>
        <v>16750000</v>
      </c>
      <c r="Q4" s="113">
        <f>53/4*1000000</f>
        <v>13250000</v>
      </c>
      <c r="R4" s="113">
        <f>11/4*1000000</f>
        <v>2750000</v>
      </c>
      <c r="S4" s="195">
        <f>21/4*1000000</f>
        <v>5250000</v>
      </c>
      <c r="V4" s="126"/>
      <c r="AB4" s="130"/>
      <c r="AC4" s="130"/>
      <c r="AD4" s="210"/>
      <c r="AE4" s="210"/>
      <c r="AF4" s="83"/>
      <c r="AG4" s="83"/>
      <c r="AH4" s="96"/>
      <c r="AI4" s="83"/>
      <c r="AJ4" s="165"/>
      <c r="AK4" s="83"/>
      <c r="AL4" s="83"/>
      <c r="AM4" s="96"/>
      <c r="AN4" s="96"/>
      <c r="AO4" s="96"/>
      <c r="AY4" s="98"/>
      <c r="AZ4" s="139"/>
      <c r="BA4" s="139"/>
      <c r="BB4" s="139"/>
      <c r="BC4" s="139"/>
      <c r="BD4" s="96"/>
      <c r="BE4" s="96"/>
      <c r="BF4" s="96"/>
      <c r="BG4" s="96"/>
      <c r="BH4" s="96"/>
    </row>
    <row r="5" spans="2:60" x14ac:dyDescent="0.25">
      <c r="B5" s="261"/>
      <c r="C5" s="5">
        <v>10</v>
      </c>
      <c r="D5" s="5">
        <v>8</v>
      </c>
      <c r="E5" s="5">
        <v>0</v>
      </c>
      <c r="F5" s="6">
        <v>0</v>
      </c>
      <c r="G5" s="165"/>
      <c r="I5" s="3">
        <v>5</v>
      </c>
      <c r="J5" s="91">
        <v>0</v>
      </c>
      <c r="K5" s="91"/>
      <c r="L5" s="91"/>
      <c r="M5" s="6"/>
      <c r="N5" s="121" t="s">
        <v>257</v>
      </c>
      <c r="P5" s="194">
        <f>71/4*1000000</f>
        <v>17750000</v>
      </c>
      <c r="Q5" s="113">
        <f>17/4*1000000</f>
        <v>4250000</v>
      </c>
      <c r="R5" s="113">
        <f>24/4*1000000</f>
        <v>6000000</v>
      </c>
      <c r="S5" s="195">
        <f>17/4*1000000</f>
        <v>4250000</v>
      </c>
      <c r="V5" s="126"/>
      <c r="AB5" s="130"/>
      <c r="AC5" s="130"/>
      <c r="AD5" s="210"/>
      <c r="AE5" s="83"/>
      <c r="AF5" s="83"/>
      <c r="AG5" s="83"/>
      <c r="AH5" s="96"/>
      <c r="AI5" s="83"/>
      <c r="AJ5" s="165"/>
      <c r="AK5" s="83"/>
      <c r="AL5" s="83"/>
      <c r="AM5" s="96"/>
      <c r="AN5" s="96"/>
      <c r="AO5" s="96"/>
      <c r="AY5" s="98"/>
      <c r="AZ5" s="139"/>
      <c r="BA5" s="139"/>
      <c r="BB5" s="139"/>
      <c r="BC5" s="139"/>
      <c r="BD5" s="96"/>
      <c r="BE5" s="96"/>
      <c r="BF5" s="96"/>
      <c r="BG5" s="96"/>
      <c r="BH5" s="96"/>
    </row>
    <row r="6" spans="2:60" x14ac:dyDescent="0.25">
      <c r="B6" s="261"/>
      <c r="C6" s="5">
        <v>10</v>
      </c>
      <c r="D6" s="5">
        <v>8</v>
      </c>
      <c r="E6" s="5">
        <v>0</v>
      </c>
      <c r="F6" s="6">
        <v>0</v>
      </c>
      <c r="G6" s="165"/>
      <c r="I6" s="3">
        <v>5</v>
      </c>
      <c r="J6" s="91">
        <v>0</v>
      </c>
      <c r="K6" s="91"/>
      <c r="L6" s="91"/>
      <c r="M6" s="6"/>
      <c r="P6" s="194">
        <f>66/4*1000000</f>
        <v>16500000</v>
      </c>
      <c r="Q6" s="113">
        <f>21/4*1000000</f>
        <v>5250000</v>
      </c>
      <c r="R6" s="113">
        <f>16/4*1000000</f>
        <v>4000000</v>
      </c>
      <c r="S6" s="195">
        <f>14/4*1000000</f>
        <v>3500000</v>
      </c>
      <c r="V6" s="126"/>
      <c r="AB6" s="130"/>
      <c r="AC6" s="130"/>
      <c r="AD6" s="210"/>
      <c r="AE6" s="210"/>
      <c r="AF6" s="83"/>
      <c r="AG6" s="83"/>
      <c r="AH6" s="96"/>
      <c r="AI6" s="83"/>
      <c r="AJ6" s="165"/>
      <c r="AK6" s="83"/>
      <c r="AL6" s="83"/>
      <c r="AM6" s="96"/>
      <c r="AN6" s="96"/>
      <c r="AO6" s="96"/>
      <c r="AY6" s="98"/>
      <c r="AZ6" s="139"/>
      <c r="BA6" s="139"/>
      <c r="BB6" s="139"/>
      <c r="BC6" s="139"/>
      <c r="BD6" s="96"/>
      <c r="BE6" s="96"/>
      <c r="BF6" s="96"/>
      <c r="BG6" s="96"/>
      <c r="BH6" s="96"/>
    </row>
    <row r="7" spans="2:60" x14ac:dyDescent="0.25">
      <c r="B7" s="261"/>
      <c r="C7" s="5">
        <v>10</v>
      </c>
      <c r="D7" s="5">
        <v>9</v>
      </c>
      <c r="E7" s="5">
        <v>0</v>
      </c>
      <c r="F7" s="6">
        <v>0</v>
      </c>
      <c r="G7" s="165"/>
      <c r="I7" s="3">
        <v>5</v>
      </c>
      <c r="J7" s="91">
        <v>0</v>
      </c>
      <c r="K7" s="91"/>
      <c r="L7" s="91"/>
      <c r="M7" s="6"/>
      <c r="P7" s="194">
        <f>88/4*1000000</f>
        <v>22000000</v>
      </c>
      <c r="Q7" s="113">
        <f>53/4*1000000</f>
        <v>13250000</v>
      </c>
      <c r="R7" s="113">
        <f>12/4*1000000</f>
        <v>3000000</v>
      </c>
      <c r="S7" s="195">
        <f>6/4*1000000</f>
        <v>1500000</v>
      </c>
      <c r="V7" s="126"/>
      <c r="AB7" s="96"/>
      <c r="AC7" s="96"/>
      <c r="AD7" s="83"/>
      <c r="AE7" s="210"/>
      <c r="AF7" s="83"/>
      <c r="AG7" s="83"/>
      <c r="AH7" s="96"/>
      <c r="AI7" s="83"/>
      <c r="AJ7" s="165"/>
      <c r="AK7" s="83"/>
      <c r="AL7" s="83"/>
      <c r="AM7" s="96"/>
      <c r="AN7" s="96"/>
      <c r="AO7" s="96"/>
      <c r="AY7" s="98"/>
      <c r="AZ7" s="139"/>
      <c r="BA7" s="139"/>
      <c r="BB7" s="139"/>
      <c r="BC7" s="139"/>
      <c r="BD7" s="96"/>
      <c r="BE7" s="96"/>
      <c r="BF7" s="96"/>
      <c r="BG7" s="96"/>
      <c r="BH7" s="96"/>
    </row>
    <row r="8" spans="2:60" x14ac:dyDescent="0.25">
      <c r="B8" s="261"/>
      <c r="C8" s="5">
        <v>10</v>
      </c>
      <c r="D8" s="5">
        <v>9</v>
      </c>
      <c r="E8" s="5">
        <v>0</v>
      </c>
      <c r="F8" s="6">
        <v>0</v>
      </c>
      <c r="G8" s="165"/>
      <c r="I8" s="3">
        <v>5</v>
      </c>
      <c r="J8" s="91">
        <v>0</v>
      </c>
      <c r="K8" s="91"/>
      <c r="L8" s="91"/>
      <c r="M8" s="6"/>
      <c r="P8" s="199">
        <f>50/4*1000000</f>
        <v>12500000</v>
      </c>
      <c r="Q8" s="165">
        <f>80/4*1000000</f>
        <v>20000000</v>
      </c>
      <c r="R8" s="113">
        <f>14/4*1000000</f>
        <v>3500000</v>
      </c>
      <c r="S8" s="195">
        <f>11/4*1000000</f>
        <v>2750000</v>
      </c>
      <c r="V8" s="126"/>
      <c r="AB8" s="96"/>
      <c r="AC8" s="96"/>
      <c r="AD8" s="210"/>
      <c r="AE8" s="210"/>
      <c r="AF8" s="83"/>
      <c r="AG8" s="83"/>
      <c r="AH8" s="96"/>
      <c r="AI8" s="83"/>
      <c r="AJ8" s="165"/>
      <c r="AK8" s="83"/>
      <c r="AL8" s="83"/>
      <c r="AM8" s="96"/>
      <c r="AN8" s="96"/>
      <c r="AO8" s="96"/>
      <c r="AY8" s="98"/>
      <c r="AZ8" s="139"/>
      <c r="BA8" s="139"/>
      <c r="BB8" s="139"/>
      <c r="BC8" s="139"/>
      <c r="BD8" s="96"/>
      <c r="BE8" s="96"/>
      <c r="BF8" s="96"/>
      <c r="BG8" s="96"/>
      <c r="BH8" s="96"/>
    </row>
    <row r="9" spans="2:60" x14ac:dyDescent="0.25">
      <c r="B9" s="261"/>
      <c r="C9" s="5">
        <v>10</v>
      </c>
      <c r="D9" s="5">
        <v>9</v>
      </c>
      <c r="E9" s="5">
        <v>0</v>
      </c>
      <c r="F9" s="6">
        <v>0</v>
      </c>
      <c r="G9" s="165"/>
      <c r="I9" s="3">
        <v>5</v>
      </c>
      <c r="J9" s="91">
        <v>0</v>
      </c>
      <c r="K9" s="91"/>
      <c r="L9" s="91"/>
      <c r="M9" s="6"/>
      <c r="P9" s="199">
        <f>58/4*1000000</f>
        <v>14500000</v>
      </c>
      <c r="Q9" s="165">
        <f>54/4*1000000</f>
        <v>13500000</v>
      </c>
      <c r="R9" s="165">
        <f>9/4*1000000</f>
        <v>2250000</v>
      </c>
      <c r="S9" s="147">
        <f>17/4*1000000</f>
        <v>4250000</v>
      </c>
      <c r="V9" s="126"/>
      <c r="AB9" s="130"/>
      <c r="AC9" s="130"/>
      <c r="AD9" s="210"/>
      <c r="AE9" s="210"/>
      <c r="AF9" s="83"/>
      <c r="AG9" s="83"/>
      <c r="AH9" s="96"/>
      <c r="AI9" s="83"/>
      <c r="AJ9" s="165"/>
      <c r="AK9" s="83"/>
      <c r="AL9" s="83"/>
      <c r="AM9" s="96"/>
      <c r="AN9" s="96"/>
      <c r="AO9" s="96"/>
      <c r="AY9" s="98"/>
      <c r="AZ9" s="139"/>
      <c r="BA9" s="139"/>
      <c r="BB9" s="139"/>
      <c r="BC9" s="139"/>
      <c r="BD9" s="96"/>
      <c r="BE9" s="96"/>
      <c r="BF9" s="96"/>
      <c r="BG9" s="96"/>
      <c r="BH9" s="96"/>
    </row>
    <row r="10" spans="2:60" x14ac:dyDescent="0.25">
      <c r="B10" s="261"/>
      <c r="C10" s="5">
        <v>10</v>
      </c>
      <c r="D10" s="5">
        <v>9</v>
      </c>
      <c r="E10" s="5">
        <v>5</v>
      </c>
      <c r="F10" s="6">
        <v>0</v>
      </c>
      <c r="G10" s="165"/>
      <c r="I10" s="3">
        <v>5</v>
      </c>
      <c r="J10" s="91">
        <v>0</v>
      </c>
      <c r="K10" s="91"/>
      <c r="L10" s="91"/>
      <c r="M10" s="6"/>
      <c r="P10" s="199">
        <f>55/4*1000000</f>
        <v>13750000</v>
      </c>
      <c r="Q10" s="165">
        <f>57/4*1000000</f>
        <v>14250000</v>
      </c>
      <c r="R10" s="165">
        <f>31/4*1000000</f>
        <v>7750000</v>
      </c>
      <c r="S10" s="147">
        <f>12/4*1000000</f>
        <v>3000000</v>
      </c>
      <c r="V10" s="115"/>
      <c r="AB10" s="130"/>
      <c r="AC10" s="130"/>
      <c r="AD10" s="83"/>
      <c r="AE10" s="210"/>
      <c r="AF10" s="83"/>
      <c r="AG10" s="83"/>
      <c r="AH10" s="96"/>
      <c r="AI10" s="83"/>
      <c r="AJ10" s="165"/>
      <c r="AK10" s="83"/>
      <c r="AL10" s="83"/>
      <c r="AM10" s="96"/>
      <c r="AN10" s="96"/>
      <c r="AO10" s="96"/>
      <c r="AY10" s="98"/>
      <c r="AZ10" s="139"/>
      <c r="BA10" s="139"/>
      <c r="BB10" s="139"/>
      <c r="BC10" s="139"/>
      <c r="BD10" s="96"/>
      <c r="BE10" s="96"/>
      <c r="BF10" s="96"/>
      <c r="BG10" s="96"/>
      <c r="BH10" s="96"/>
    </row>
    <row r="11" spans="2:60" x14ac:dyDescent="0.25">
      <c r="B11" s="261"/>
      <c r="C11" s="5">
        <v>10</v>
      </c>
      <c r="D11" s="5">
        <v>9</v>
      </c>
      <c r="E11" s="5">
        <v>6</v>
      </c>
      <c r="F11" s="6">
        <v>0</v>
      </c>
      <c r="G11" s="165"/>
      <c r="H11" s="96"/>
      <c r="I11" s="3">
        <v>5</v>
      </c>
      <c r="J11" s="91">
        <v>0</v>
      </c>
      <c r="K11" s="91"/>
      <c r="L11" s="91"/>
      <c r="M11" s="6"/>
      <c r="P11" s="199">
        <f>69/4*1000000</f>
        <v>17250000</v>
      </c>
      <c r="Q11" s="165">
        <f>92/4*1000000</f>
        <v>23000000</v>
      </c>
      <c r="R11" s="165">
        <f>15/4*1000000</f>
        <v>3750000</v>
      </c>
      <c r="S11" s="147">
        <f>34/4*1000000</f>
        <v>8500000</v>
      </c>
      <c r="V11" s="126"/>
      <c r="AB11" s="96"/>
      <c r="AC11" s="96"/>
      <c r="AD11" s="83"/>
      <c r="AE11" s="210"/>
      <c r="AF11" s="83"/>
      <c r="AG11" s="83"/>
      <c r="AH11" s="96"/>
      <c r="AI11" s="83"/>
      <c r="AJ11" s="165"/>
      <c r="AK11" s="83"/>
      <c r="AL11" s="83"/>
      <c r="AM11" s="96"/>
      <c r="AN11" s="96"/>
      <c r="AO11" s="96"/>
      <c r="AY11" s="98"/>
      <c r="AZ11" s="139"/>
      <c r="BA11" s="139"/>
      <c r="BB11" s="139"/>
      <c r="BC11" s="139"/>
      <c r="BD11" s="96"/>
      <c r="BE11" s="96"/>
      <c r="BF11" s="96"/>
      <c r="BG11" s="96"/>
      <c r="BH11" s="96"/>
    </row>
    <row r="12" spans="2:60" x14ac:dyDescent="0.25">
      <c r="B12" s="261"/>
      <c r="C12" s="5">
        <v>10</v>
      </c>
      <c r="D12" s="5">
        <v>9</v>
      </c>
      <c r="E12" s="5">
        <v>6</v>
      </c>
      <c r="F12" s="6">
        <v>0</v>
      </c>
      <c r="G12" s="5"/>
      <c r="H12" s="96"/>
      <c r="I12" s="3">
        <v>5</v>
      </c>
      <c r="J12" s="91">
        <v>0</v>
      </c>
      <c r="K12" s="91"/>
      <c r="L12" s="91"/>
      <c r="M12" s="6"/>
      <c r="P12" s="199">
        <f>54/4*1000000</f>
        <v>13500000</v>
      </c>
      <c r="Q12" s="165">
        <f>72/4*1000000</f>
        <v>18000000</v>
      </c>
      <c r="R12" s="165">
        <f>22/4*1000000</f>
        <v>5500000</v>
      </c>
      <c r="S12" s="147">
        <f>66/4*1000000</f>
        <v>16500000</v>
      </c>
      <c r="V12" s="126"/>
      <c r="AB12" s="96"/>
      <c r="AC12" s="96"/>
      <c r="AD12" s="210"/>
      <c r="AE12" s="210"/>
      <c r="AF12" s="83"/>
      <c r="AG12" s="83"/>
      <c r="AH12" s="96"/>
      <c r="AI12" s="83"/>
      <c r="AJ12" s="165"/>
      <c r="AK12" s="83"/>
      <c r="AL12" s="83"/>
      <c r="AM12" s="96"/>
      <c r="AN12" s="96"/>
      <c r="AO12" s="96"/>
      <c r="AY12" s="98"/>
      <c r="AZ12" s="139"/>
      <c r="BA12" s="139"/>
      <c r="BB12" s="139"/>
      <c r="BC12" s="139"/>
      <c r="BD12" s="96"/>
      <c r="BE12" s="96"/>
      <c r="BF12" s="96"/>
      <c r="BG12" s="96"/>
      <c r="BH12" s="96"/>
    </row>
    <row r="13" spans="2:60" x14ac:dyDescent="0.25">
      <c r="B13" s="261"/>
      <c r="C13" s="5">
        <v>10</v>
      </c>
      <c r="D13" s="5">
        <v>9</v>
      </c>
      <c r="E13" s="5">
        <v>7</v>
      </c>
      <c r="F13" s="6">
        <v>3</v>
      </c>
      <c r="G13" s="5"/>
      <c r="H13" s="96"/>
      <c r="I13" s="3">
        <v>5</v>
      </c>
      <c r="J13" s="91">
        <v>0</v>
      </c>
      <c r="K13" s="91"/>
      <c r="L13" s="91"/>
      <c r="M13" s="6"/>
      <c r="P13" s="199">
        <f>129/4*1000000</f>
        <v>32250000</v>
      </c>
      <c r="Q13" s="165">
        <f>40/4*1000000</f>
        <v>10000000</v>
      </c>
      <c r="R13" s="165">
        <f>44/4*1000000</f>
        <v>11000000</v>
      </c>
      <c r="S13" s="147">
        <f>31/4*1000000</f>
        <v>7750000</v>
      </c>
      <c r="V13" s="126"/>
      <c r="AB13" s="96"/>
      <c r="AC13" s="96"/>
      <c r="AD13" s="83"/>
      <c r="AE13" s="83"/>
      <c r="AF13" s="83"/>
      <c r="AG13" s="83"/>
      <c r="AH13" s="96"/>
      <c r="AI13" s="83"/>
      <c r="AJ13" s="165"/>
      <c r="AK13" s="83"/>
      <c r="AL13" s="83"/>
      <c r="AM13" s="96"/>
      <c r="AN13" s="96"/>
      <c r="AO13" s="96"/>
      <c r="AY13" s="98"/>
      <c r="AZ13" s="139"/>
      <c r="BA13" s="139"/>
      <c r="BB13" s="139"/>
      <c r="BC13" s="139"/>
      <c r="BD13" s="96"/>
      <c r="BE13" s="96"/>
      <c r="BF13" s="96"/>
      <c r="BG13" s="96"/>
      <c r="BH13" s="96"/>
    </row>
    <row r="14" spans="2:60" x14ac:dyDescent="0.25">
      <c r="B14" s="261"/>
      <c r="C14" s="5">
        <v>9</v>
      </c>
      <c r="D14" s="5">
        <v>9</v>
      </c>
      <c r="E14" s="5">
        <v>0</v>
      </c>
      <c r="F14" s="6">
        <v>0</v>
      </c>
      <c r="G14" s="5"/>
      <c r="H14" s="96"/>
      <c r="I14" s="3">
        <v>5</v>
      </c>
      <c r="J14" s="91">
        <v>0</v>
      </c>
      <c r="K14" s="91"/>
      <c r="L14" s="91"/>
      <c r="M14" s="6"/>
      <c r="P14" s="199">
        <f>115/4*1000000</f>
        <v>28750000</v>
      </c>
      <c r="Q14" s="165">
        <f>33/4*1000000</f>
        <v>8250000</v>
      </c>
      <c r="R14" s="165">
        <f>55/4*1000000</f>
        <v>13750000</v>
      </c>
      <c r="S14" s="147">
        <f>31/4*1000000</f>
        <v>7750000</v>
      </c>
      <c r="V14" s="126"/>
      <c r="AB14" s="96"/>
      <c r="AC14" s="96"/>
      <c r="AD14" s="210"/>
      <c r="AE14" s="83"/>
      <c r="AF14" s="83"/>
      <c r="AG14" s="83"/>
      <c r="AH14" s="96"/>
      <c r="AI14" s="83"/>
      <c r="AJ14" s="165"/>
      <c r="AK14" s="83"/>
      <c r="AL14" s="83"/>
      <c r="AM14" s="96"/>
      <c r="AN14" s="96"/>
      <c r="AO14" s="96"/>
      <c r="AY14" s="98"/>
      <c r="AZ14" s="139"/>
      <c r="BA14" s="139"/>
      <c r="BB14" s="139"/>
      <c r="BC14" s="139"/>
      <c r="BD14" s="96"/>
      <c r="BE14" s="96"/>
      <c r="BF14" s="96"/>
      <c r="BG14" s="96"/>
      <c r="BH14" s="96"/>
    </row>
    <row r="15" spans="2:60" x14ac:dyDescent="0.25">
      <c r="B15" s="261"/>
      <c r="C15" s="5">
        <v>10</v>
      </c>
      <c r="D15" s="5">
        <v>10</v>
      </c>
      <c r="E15" s="5">
        <v>0</v>
      </c>
      <c r="F15" s="6">
        <v>0</v>
      </c>
      <c r="G15" s="5"/>
      <c r="H15" s="96"/>
      <c r="I15" s="3">
        <v>5</v>
      </c>
      <c r="J15" s="91">
        <v>0</v>
      </c>
      <c r="K15" s="91"/>
      <c r="L15" s="91"/>
      <c r="M15" s="6"/>
      <c r="P15" s="199">
        <f>134/4*100000</f>
        <v>3350000</v>
      </c>
      <c r="Q15" s="165">
        <f>25/4*1000000</f>
        <v>6250000</v>
      </c>
      <c r="R15" s="165">
        <f>45/4*1000000</f>
        <v>11250000</v>
      </c>
      <c r="S15" s="147">
        <f>6/4*1000000</f>
        <v>1500000</v>
      </c>
      <c r="V15" s="126"/>
      <c r="AB15" s="96"/>
      <c r="AC15" s="96"/>
      <c r="AD15" s="210"/>
      <c r="AE15" s="210"/>
      <c r="AF15" s="83"/>
      <c r="AG15" s="83"/>
      <c r="AH15" s="96"/>
      <c r="AI15" s="83"/>
      <c r="AJ15" s="165"/>
      <c r="AK15" s="83"/>
      <c r="AL15" s="83"/>
      <c r="AM15" s="96"/>
      <c r="AN15" s="96"/>
      <c r="AO15" s="96"/>
      <c r="AY15" s="98"/>
      <c r="AZ15" s="139"/>
      <c r="BA15" s="139"/>
      <c r="BB15" s="139"/>
      <c r="BC15" s="139"/>
      <c r="BD15" s="96"/>
      <c r="BE15" s="96"/>
      <c r="BF15" s="96"/>
      <c r="BG15" s="96"/>
      <c r="BH15" s="96"/>
    </row>
    <row r="16" spans="2:60" x14ac:dyDescent="0.25">
      <c r="B16" s="261"/>
      <c r="C16" s="5">
        <v>10</v>
      </c>
      <c r="D16" s="5">
        <v>10</v>
      </c>
      <c r="E16" s="5">
        <v>0</v>
      </c>
      <c r="F16" s="6">
        <v>0</v>
      </c>
      <c r="G16" s="5"/>
      <c r="H16" s="96"/>
      <c r="I16" s="3">
        <v>5</v>
      </c>
      <c r="J16" s="91">
        <v>0</v>
      </c>
      <c r="K16" s="91"/>
      <c r="L16" s="91"/>
      <c r="M16" s="6"/>
      <c r="P16" s="199">
        <f>72/4*1000000</f>
        <v>18000000</v>
      </c>
      <c r="Q16" s="165">
        <f>61/4*1000000</f>
        <v>15250000</v>
      </c>
      <c r="R16" s="165">
        <f>53/4*1000000</f>
        <v>13250000</v>
      </c>
      <c r="S16" s="147">
        <f>7/4*1000000</f>
        <v>1750000</v>
      </c>
      <c r="V16" s="126"/>
      <c r="AB16" s="96"/>
      <c r="AC16" s="96"/>
      <c r="AD16" s="210"/>
      <c r="AE16" s="210"/>
      <c r="AF16" s="83"/>
      <c r="AG16" s="83"/>
      <c r="AH16" s="96"/>
      <c r="AI16" s="83"/>
      <c r="AJ16" s="165"/>
      <c r="AK16" s="83"/>
      <c r="AL16" s="83"/>
      <c r="AM16" s="96"/>
      <c r="AN16" s="96"/>
      <c r="AO16" s="96"/>
      <c r="AY16" s="98"/>
      <c r="AZ16" s="139"/>
      <c r="BA16" s="139"/>
      <c r="BB16" s="139"/>
      <c r="BC16" s="139"/>
      <c r="BD16" s="96"/>
      <c r="BE16" s="96"/>
      <c r="BF16" s="96"/>
      <c r="BG16" s="96"/>
      <c r="BH16" s="96"/>
    </row>
    <row r="17" spans="2:60" x14ac:dyDescent="0.25">
      <c r="B17" s="261"/>
      <c r="C17" s="5">
        <v>10</v>
      </c>
      <c r="D17" s="5">
        <v>10</v>
      </c>
      <c r="E17" s="5">
        <v>0</v>
      </c>
      <c r="F17" s="6">
        <v>0</v>
      </c>
      <c r="G17" s="5"/>
      <c r="H17" s="96"/>
      <c r="I17" s="3">
        <v>5</v>
      </c>
      <c r="J17" s="91">
        <v>0</v>
      </c>
      <c r="K17" s="91"/>
      <c r="L17" s="91"/>
      <c r="M17" s="6"/>
      <c r="P17" s="199">
        <f>132/4*1000000</f>
        <v>33000000</v>
      </c>
      <c r="Q17" s="165">
        <f>86/4*1000000</f>
        <v>21500000</v>
      </c>
      <c r="R17" s="165">
        <f>37/4*1000000</f>
        <v>9250000</v>
      </c>
      <c r="S17" s="147">
        <f>66/4*1000000</f>
        <v>16500000</v>
      </c>
      <c r="V17" s="115"/>
      <c r="AB17" s="96"/>
      <c r="AC17" s="96"/>
      <c r="AD17" s="83"/>
      <c r="AE17" s="83"/>
      <c r="AF17" s="83"/>
      <c r="AG17" s="83"/>
      <c r="AH17" s="96"/>
      <c r="AI17" s="83"/>
      <c r="AJ17" s="165"/>
      <c r="AK17" s="83"/>
      <c r="AL17" s="83"/>
      <c r="AM17" s="96"/>
      <c r="AN17" s="96"/>
      <c r="AO17" s="96"/>
      <c r="AY17" s="98"/>
      <c r="AZ17" s="139"/>
      <c r="BA17" s="139"/>
      <c r="BB17" s="139"/>
      <c r="BC17" s="139"/>
      <c r="BD17" s="96"/>
      <c r="BE17" s="96"/>
      <c r="BF17" s="96"/>
      <c r="BG17" s="96"/>
      <c r="BH17" s="96"/>
    </row>
    <row r="18" spans="2:60" x14ac:dyDescent="0.25">
      <c r="B18" s="261"/>
      <c r="C18" s="5">
        <v>10</v>
      </c>
      <c r="D18" s="5">
        <v>10</v>
      </c>
      <c r="E18" s="5">
        <v>0</v>
      </c>
      <c r="F18" s="6">
        <v>0</v>
      </c>
      <c r="G18" s="5"/>
      <c r="H18" s="96"/>
      <c r="I18" s="3">
        <v>5</v>
      </c>
      <c r="J18" s="91">
        <v>0</v>
      </c>
      <c r="K18" s="91"/>
      <c r="L18" s="91"/>
      <c r="M18" s="6"/>
      <c r="P18" s="199">
        <f>99/4*1000000</f>
        <v>24750000</v>
      </c>
      <c r="Q18" s="165">
        <f>38/4*1000000</f>
        <v>9500000</v>
      </c>
      <c r="R18" s="165">
        <f>11/4*1000000</f>
        <v>2750000</v>
      </c>
      <c r="S18" s="147">
        <f>10/4*1000000</f>
        <v>2500000</v>
      </c>
      <c r="V18" s="83"/>
      <c r="AB18" s="96"/>
      <c r="AC18" s="96"/>
      <c r="AD18" s="210"/>
      <c r="AE18" s="210"/>
      <c r="AF18" s="83"/>
      <c r="AG18" s="83"/>
      <c r="AH18" s="96"/>
      <c r="AI18" s="83"/>
      <c r="AJ18" s="165"/>
      <c r="AK18" s="83"/>
      <c r="AL18" s="83"/>
      <c r="AM18" s="96"/>
      <c r="AN18" s="96"/>
      <c r="AO18" s="96"/>
      <c r="AY18" s="98"/>
      <c r="AZ18" s="139"/>
      <c r="BA18" s="139"/>
      <c r="BB18" s="139"/>
      <c r="BC18" s="139"/>
      <c r="BD18" s="96"/>
      <c r="BE18" s="96"/>
      <c r="BF18" s="96"/>
      <c r="BG18" s="96"/>
      <c r="BH18" s="96"/>
    </row>
    <row r="19" spans="2:60" x14ac:dyDescent="0.25">
      <c r="B19" s="261"/>
      <c r="C19" s="5">
        <v>10</v>
      </c>
      <c r="D19" s="5">
        <v>10</v>
      </c>
      <c r="E19" s="5">
        <v>0</v>
      </c>
      <c r="F19" s="6">
        <v>0</v>
      </c>
      <c r="G19" s="5"/>
      <c r="H19" s="96"/>
      <c r="I19" s="3">
        <v>5</v>
      </c>
      <c r="J19" s="91">
        <v>0</v>
      </c>
      <c r="K19" s="91"/>
      <c r="L19" s="91"/>
      <c r="M19" s="6"/>
      <c r="P19" s="199">
        <f>110/4*1000000</f>
        <v>27500000</v>
      </c>
      <c r="Q19" s="165">
        <f>37/4*1000000</f>
        <v>9250000</v>
      </c>
      <c r="R19" s="165">
        <f>9/4*1000000</f>
        <v>2250000</v>
      </c>
      <c r="S19" s="147">
        <f>3/4*1000000</f>
        <v>750000</v>
      </c>
      <c r="V19" s="83"/>
      <c r="AB19" s="96"/>
      <c r="AC19" s="96"/>
      <c r="AD19" s="210"/>
      <c r="AE19" s="210"/>
      <c r="AF19" s="83"/>
      <c r="AG19" s="83"/>
      <c r="AH19" s="96"/>
      <c r="AI19" s="83"/>
      <c r="AJ19" s="165"/>
      <c r="AK19" s="83"/>
      <c r="AL19" s="83"/>
      <c r="AM19" s="96"/>
      <c r="AN19" s="96"/>
      <c r="AO19" s="96"/>
      <c r="AY19" s="98"/>
      <c r="AZ19" s="139"/>
      <c r="BA19" s="139"/>
      <c r="BB19" s="139"/>
      <c r="BC19" s="139"/>
      <c r="BD19" s="96"/>
      <c r="BE19" s="96"/>
      <c r="BF19" s="96"/>
      <c r="BG19" s="96"/>
      <c r="BH19" s="96"/>
    </row>
    <row r="20" spans="2:60" x14ac:dyDescent="0.25">
      <c r="B20" s="261"/>
      <c r="C20" s="5">
        <v>10</v>
      </c>
      <c r="D20" s="5">
        <v>10</v>
      </c>
      <c r="E20" s="5">
        <v>0</v>
      </c>
      <c r="F20" s="6">
        <v>0</v>
      </c>
      <c r="G20" s="5"/>
      <c r="H20" s="96"/>
      <c r="I20" s="3">
        <v>5</v>
      </c>
      <c r="J20" s="91">
        <v>0</v>
      </c>
      <c r="K20" s="91"/>
      <c r="L20" s="91"/>
      <c r="M20" s="6"/>
      <c r="P20" s="199">
        <f>67/4*1000000</f>
        <v>16750000</v>
      </c>
      <c r="Q20" s="165">
        <f>74/4*1000000</f>
        <v>18500000</v>
      </c>
      <c r="R20" s="165">
        <f>20/4*1000000</f>
        <v>5000000</v>
      </c>
      <c r="S20" s="147">
        <f>5/4*1000000</f>
        <v>1250000</v>
      </c>
      <c r="V20" s="83"/>
      <c r="AB20" s="96"/>
      <c r="AC20" s="96"/>
      <c r="AD20" s="83"/>
      <c r="AE20" s="83"/>
      <c r="AF20" s="83"/>
      <c r="AG20" s="83"/>
      <c r="AH20" s="96"/>
      <c r="AI20" s="83"/>
      <c r="AJ20" s="165"/>
      <c r="AK20" s="83"/>
      <c r="AL20" s="83"/>
      <c r="AM20" s="96"/>
      <c r="AN20" s="96"/>
      <c r="AO20" s="96"/>
      <c r="AY20" s="98"/>
      <c r="AZ20" s="139"/>
      <c r="BA20" s="139"/>
      <c r="BB20" s="139"/>
      <c r="BC20" s="139"/>
      <c r="BD20" s="96"/>
      <c r="BE20" s="96"/>
      <c r="BF20" s="96"/>
      <c r="BG20" s="96"/>
      <c r="BH20" s="96"/>
    </row>
    <row r="21" spans="2:60" x14ac:dyDescent="0.25">
      <c r="B21" s="261"/>
      <c r="C21" s="5">
        <v>10</v>
      </c>
      <c r="D21" s="5">
        <v>10</v>
      </c>
      <c r="E21" s="5">
        <v>8</v>
      </c>
      <c r="F21" s="6">
        <v>0</v>
      </c>
      <c r="G21" s="5"/>
      <c r="H21" s="96"/>
      <c r="I21" s="3">
        <v>5</v>
      </c>
      <c r="J21" s="91">
        <v>0</v>
      </c>
      <c r="K21" s="91"/>
      <c r="L21" s="91"/>
      <c r="M21" s="6"/>
      <c r="P21" s="199">
        <f>105/4*1000000</f>
        <v>26250000</v>
      </c>
      <c r="Q21" s="165">
        <f>61/4*1000000</f>
        <v>15250000</v>
      </c>
      <c r="R21" s="165">
        <f>29/4*1000000</f>
        <v>7250000</v>
      </c>
      <c r="S21" s="147">
        <f>8/4*1000000</f>
        <v>2000000</v>
      </c>
      <c r="V21" s="83"/>
      <c r="AB21" s="96"/>
      <c r="AC21" s="96"/>
      <c r="AD21" s="210"/>
      <c r="AE21" s="83"/>
      <c r="AF21" s="83"/>
      <c r="AG21" s="83"/>
      <c r="AH21" s="96"/>
      <c r="AI21" s="83"/>
      <c r="AJ21" s="165"/>
      <c r="AK21" s="83"/>
      <c r="AL21" s="83"/>
      <c r="AM21" s="96"/>
      <c r="AN21" s="96"/>
      <c r="AO21" s="96"/>
      <c r="AY21" s="98"/>
      <c r="AZ21" s="139"/>
      <c r="BA21" s="139"/>
      <c r="BB21" s="139"/>
      <c r="BC21" s="139"/>
      <c r="BD21" s="96"/>
      <c r="BE21" s="96"/>
      <c r="BF21" s="96"/>
      <c r="BG21" s="96"/>
      <c r="BH21" s="96"/>
    </row>
    <row r="22" spans="2:60" x14ac:dyDescent="0.25">
      <c r="B22" s="261"/>
      <c r="C22" s="5">
        <v>10</v>
      </c>
      <c r="D22" s="5">
        <v>10</v>
      </c>
      <c r="E22" s="5">
        <v>6</v>
      </c>
      <c r="F22" s="6">
        <v>0</v>
      </c>
      <c r="G22" s="5"/>
      <c r="H22" s="96"/>
      <c r="I22" s="3">
        <v>5</v>
      </c>
      <c r="J22" s="91">
        <v>0</v>
      </c>
      <c r="K22" s="91"/>
      <c r="L22" s="91"/>
      <c r="M22" s="6"/>
      <c r="P22" s="199">
        <f>94/4*1000000</f>
        <v>23500000</v>
      </c>
      <c r="Q22" s="165">
        <f>94/4*1000000</f>
        <v>23500000</v>
      </c>
      <c r="R22" s="165">
        <f>33/4*1000000</f>
        <v>8250000</v>
      </c>
      <c r="S22" s="147">
        <f>16/4*1000000</f>
        <v>4000000</v>
      </c>
      <c r="V22" s="83"/>
      <c r="AB22" s="96"/>
      <c r="AC22" s="96"/>
      <c r="AD22" s="210"/>
      <c r="AE22" s="210"/>
      <c r="AF22" s="83"/>
      <c r="AG22" s="83"/>
      <c r="AH22" s="96"/>
      <c r="AI22" s="83"/>
      <c r="AJ22" s="165"/>
      <c r="AK22" s="83"/>
      <c r="AL22" s="83"/>
      <c r="AM22" s="96"/>
      <c r="AN22" s="96"/>
      <c r="AO22" s="96"/>
      <c r="AY22" s="98"/>
      <c r="AZ22" s="139"/>
      <c r="BA22" s="139"/>
      <c r="BB22" s="139"/>
      <c r="BC22" s="139"/>
      <c r="BD22" s="96"/>
      <c r="BE22" s="96"/>
      <c r="BF22" s="96"/>
      <c r="BG22" s="96"/>
      <c r="BH22" s="96"/>
    </row>
    <row r="23" spans="2:60" x14ac:dyDescent="0.25">
      <c r="B23" s="262"/>
      <c r="C23" s="18">
        <v>10</v>
      </c>
      <c r="D23" s="18">
        <v>10</v>
      </c>
      <c r="E23" s="18">
        <v>3</v>
      </c>
      <c r="F23" s="19">
        <v>0</v>
      </c>
      <c r="G23" s="5"/>
      <c r="H23" s="96"/>
      <c r="I23" s="3">
        <v>5</v>
      </c>
      <c r="J23" s="91">
        <v>0</v>
      </c>
      <c r="K23" s="91"/>
      <c r="L23" s="91"/>
      <c r="M23" s="6"/>
      <c r="P23" s="205">
        <f>67/4*1000000</f>
        <v>16750000</v>
      </c>
      <c r="Q23" s="148">
        <f>74/4*1000000</f>
        <v>18500000</v>
      </c>
      <c r="R23" s="148">
        <f>8/4*1000000</f>
        <v>2000000</v>
      </c>
      <c r="S23" s="149">
        <f>12/4*1000000</f>
        <v>3000000</v>
      </c>
      <c r="V23" s="83"/>
      <c r="AB23" s="96"/>
      <c r="AC23" s="96"/>
      <c r="AD23" s="210"/>
      <c r="AE23" s="210"/>
      <c r="AF23" s="83"/>
      <c r="AG23" s="83"/>
      <c r="AH23" s="96"/>
      <c r="AI23" s="83"/>
      <c r="AJ23" s="165"/>
      <c r="AK23" s="83"/>
      <c r="AL23" s="83"/>
      <c r="AM23" s="96"/>
      <c r="AN23" s="96"/>
      <c r="AO23" s="96"/>
      <c r="AY23" s="98"/>
      <c r="AZ23" s="139"/>
      <c r="BA23" s="139"/>
      <c r="BB23" s="139"/>
      <c r="BC23" s="139"/>
      <c r="BD23" s="96"/>
      <c r="BE23" s="96"/>
      <c r="BF23" s="96"/>
      <c r="BG23" s="96"/>
      <c r="BH23" s="96"/>
    </row>
    <row r="24" spans="2:60" x14ac:dyDescent="0.25">
      <c r="B24" s="260" t="s">
        <v>59</v>
      </c>
      <c r="C24" s="11">
        <v>10</v>
      </c>
      <c r="D24" s="11">
        <v>8</v>
      </c>
      <c r="E24" s="11">
        <v>0</v>
      </c>
      <c r="F24" s="12">
        <v>0</v>
      </c>
      <c r="G24" s="5"/>
      <c r="H24" s="96"/>
      <c r="I24" s="3">
        <v>5</v>
      </c>
      <c r="J24" s="91"/>
      <c r="K24" s="91">
        <v>0</v>
      </c>
      <c r="L24" s="91"/>
      <c r="M24" s="6"/>
      <c r="P24" s="96"/>
      <c r="Q24" s="96"/>
      <c r="R24" s="96"/>
      <c r="S24" s="96"/>
      <c r="V24" s="115"/>
      <c r="AB24" s="130"/>
      <c r="AC24" s="83"/>
      <c r="AD24" s="210"/>
      <c r="AE24" s="210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Y24" s="98"/>
      <c r="AZ24" s="139"/>
      <c r="BA24" s="139"/>
      <c r="BB24" s="139"/>
      <c r="BC24" s="139"/>
      <c r="BD24" s="96"/>
      <c r="BE24" s="96"/>
      <c r="BF24" s="96"/>
      <c r="BG24" s="96"/>
      <c r="BH24" s="96"/>
    </row>
    <row r="25" spans="2:60" x14ac:dyDescent="0.25">
      <c r="B25" s="261"/>
      <c r="C25" s="5">
        <v>10</v>
      </c>
      <c r="D25" s="5">
        <v>8</v>
      </c>
      <c r="E25" s="5">
        <v>0</v>
      </c>
      <c r="F25" s="6">
        <v>0</v>
      </c>
      <c r="G25" s="5"/>
      <c r="H25" s="96"/>
      <c r="I25" s="3">
        <v>5</v>
      </c>
      <c r="J25" s="91"/>
      <c r="K25" s="91">
        <v>0</v>
      </c>
      <c r="L25" s="91"/>
      <c r="M25" s="6"/>
      <c r="P25" s="96"/>
      <c r="Q25" s="96"/>
      <c r="R25" s="96"/>
      <c r="S25" s="96"/>
      <c r="V25" s="98"/>
      <c r="AB25" s="130"/>
      <c r="AC25" s="83"/>
      <c r="AD25" s="210"/>
      <c r="AE25" s="210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</row>
    <row r="26" spans="2:60" x14ac:dyDescent="0.25">
      <c r="B26" s="261"/>
      <c r="C26" s="5">
        <v>10</v>
      </c>
      <c r="D26" s="5">
        <v>8</v>
      </c>
      <c r="E26" s="5">
        <v>0</v>
      </c>
      <c r="F26" s="6">
        <v>0</v>
      </c>
      <c r="G26" s="5"/>
      <c r="H26" s="96"/>
      <c r="I26" s="3">
        <v>5</v>
      </c>
      <c r="J26" s="91"/>
      <c r="K26" s="91">
        <v>0</v>
      </c>
      <c r="L26" s="91"/>
      <c r="M26" s="6"/>
      <c r="P26" s="165"/>
      <c r="Q26" s="96"/>
      <c r="R26" s="96"/>
      <c r="S26" s="96"/>
      <c r="V26" s="98"/>
      <c r="AB26" s="96"/>
      <c r="AC26" s="96"/>
      <c r="AD26" s="83"/>
      <c r="AE26" s="210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Y26" s="293"/>
      <c r="AZ26" s="293"/>
      <c r="BA26" s="293"/>
      <c r="BB26" s="293"/>
      <c r="BC26" s="293"/>
      <c r="BD26" s="293"/>
      <c r="BE26" s="293"/>
      <c r="BF26" s="293"/>
      <c r="BG26" s="293"/>
      <c r="BH26" s="96"/>
    </row>
    <row r="27" spans="2:60" x14ac:dyDescent="0.25">
      <c r="B27" s="261"/>
      <c r="C27" s="5">
        <v>10</v>
      </c>
      <c r="D27" s="5">
        <v>9.5</v>
      </c>
      <c r="E27" s="5">
        <v>0</v>
      </c>
      <c r="F27" s="6">
        <v>0</v>
      </c>
      <c r="G27" s="5"/>
      <c r="H27" s="96"/>
      <c r="I27" s="3">
        <v>5</v>
      </c>
      <c r="J27" s="91"/>
      <c r="K27" s="91">
        <v>0</v>
      </c>
      <c r="L27" s="91"/>
      <c r="M27" s="6"/>
      <c r="P27" s="96"/>
      <c r="Q27" s="96"/>
      <c r="R27" s="96"/>
      <c r="S27" s="96"/>
      <c r="V27" s="98"/>
      <c r="AB27" s="96"/>
      <c r="AC27" s="96"/>
      <c r="AD27" s="210"/>
      <c r="AE27" s="210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Y27" s="98"/>
      <c r="AZ27" s="99"/>
      <c r="BA27" s="99"/>
      <c r="BB27" s="99"/>
      <c r="BC27" s="99"/>
      <c r="BD27" s="99"/>
      <c r="BE27" s="96"/>
      <c r="BF27" s="96"/>
      <c r="BG27" s="96"/>
      <c r="BH27" s="96"/>
    </row>
    <row r="28" spans="2:60" x14ac:dyDescent="0.25">
      <c r="B28" s="261"/>
      <c r="C28" s="5">
        <v>10</v>
      </c>
      <c r="D28" s="5">
        <v>9</v>
      </c>
      <c r="E28" s="5">
        <v>0</v>
      </c>
      <c r="F28" s="6">
        <v>0</v>
      </c>
      <c r="G28" s="5"/>
      <c r="H28" s="96"/>
      <c r="I28" s="3">
        <v>5</v>
      </c>
      <c r="J28" s="91"/>
      <c r="K28" s="91">
        <v>0</v>
      </c>
      <c r="L28" s="91"/>
      <c r="M28" s="6"/>
      <c r="P28" s="96"/>
      <c r="Q28" s="96"/>
      <c r="R28" s="96"/>
      <c r="S28" s="96"/>
      <c r="V28" s="98"/>
      <c r="AB28" s="96"/>
      <c r="AC28" s="96"/>
      <c r="AD28" s="210"/>
      <c r="AE28" s="210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Y28" s="98"/>
      <c r="AZ28" s="99"/>
      <c r="BA28" s="99"/>
      <c r="BB28" s="99"/>
      <c r="BC28" s="99"/>
      <c r="BD28" s="99"/>
      <c r="BE28" s="96"/>
      <c r="BF28" s="96"/>
      <c r="BG28" s="96"/>
      <c r="BH28" s="96"/>
    </row>
    <row r="29" spans="2:60" x14ac:dyDescent="0.25">
      <c r="B29" s="261"/>
      <c r="C29" s="5">
        <v>10</v>
      </c>
      <c r="D29" s="5">
        <v>9</v>
      </c>
      <c r="E29" s="5">
        <v>0</v>
      </c>
      <c r="F29" s="6">
        <v>0</v>
      </c>
      <c r="G29" s="5"/>
      <c r="H29" s="96"/>
      <c r="I29" s="3">
        <v>5</v>
      </c>
      <c r="J29" s="91"/>
      <c r="K29" s="91">
        <v>0</v>
      </c>
      <c r="L29" s="91"/>
      <c r="M29" s="6"/>
      <c r="P29" s="96"/>
      <c r="Q29" s="96"/>
      <c r="R29" s="96"/>
      <c r="S29" s="96"/>
      <c r="V29" s="98"/>
      <c r="AB29" s="96"/>
      <c r="AC29" s="96"/>
      <c r="AD29" s="83"/>
      <c r="AE29" s="210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Y29" s="98"/>
      <c r="AZ29" s="99"/>
      <c r="BA29" s="99"/>
      <c r="BB29" s="99"/>
      <c r="BC29" s="99"/>
      <c r="BD29" s="99"/>
      <c r="BE29" s="96"/>
      <c r="BF29" s="96"/>
      <c r="BG29" s="96"/>
      <c r="BH29" s="96"/>
    </row>
    <row r="30" spans="2:60" x14ac:dyDescent="0.25">
      <c r="B30" s="261"/>
      <c r="C30" s="5">
        <v>10</v>
      </c>
      <c r="D30" s="5">
        <v>10</v>
      </c>
      <c r="E30" s="5">
        <v>0</v>
      </c>
      <c r="F30" s="6">
        <v>0</v>
      </c>
      <c r="G30" s="5"/>
      <c r="H30" s="96"/>
      <c r="I30" s="3">
        <v>5</v>
      </c>
      <c r="J30" s="91"/>
      <c r="K30" s="91">
        <v>0</v>
      </c>
      <c r="L30" s="91"/>
      <c r="M30" s="6"/>
      <c r="P30" s="96"/>
      <c r="Q30" s="96"/>
      <c r="R30" s="96"/>
      <c r="S30" s="96"/>
      <c r="V30" s="98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Y30" s="98"/>
      <c r="AZ30" s="99"/>
      <c r="BA30" s="99"/>
      <c r="BB30" s="99"/>
      <c r="BC30" s="99"/>
      <c r="BD30" s="99"/>
      <c r="BE30" s="96"/>
      <c r="BF30" s="96"/>
      <c r="BG30" s="96"/>
      <c r="BH30" s="96"/>
    </row>
    <row r="31" spans="2:60" x14ac:dyDescent="0.25">
      <c r="B31" s="261"/>
      <c r="C31" s="5">
        <v>10</v>
      </c>
      <c r="D31" s="5">
        <v>10</v>
      </c>
      <c r="E31" s="5">
        <v>0</v>
      </c>
      <c r="F31" s="6">
        <v>0</v>
      </c>
      <c r="G31" s="5"/>
      <c r="H31" s="96"/>
      <c r="I31" s="3">
        <v>5</v>
      </c>
      <c r="J31" s="91"/>
      <c r="K31" s="91">
        <v>0</v>
      </c>
      <c r="L31" s="91"/>
      <c r="M31" s="6"/>
      <c r="P31" s="96"/>
      <c r="Q31" s="96"/>
      <c r="R31" s="96"/>
      <c r="S31" s="96"/>
      <c r="V31" s="115"/>
      <c r="W31" s="115"/>
      <c r="X31" s="96"/>
      <c r="Y31" s="126"/>
      <c r="Z31" s="113"/>
      <c r="AA31" s="83"/>
      <c r="AB31" s="96"/>
      <c r="AC31" s="96"/>
      <c r="AD31" s="234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Y31" s="98"/>
      <c r="AZ31" s="99"/>
      <c r="BA31" s="99"/>
      <c r="BB31" s="99"/>
      <c r="BC31" s="99"/>
      <c r="BD31" s="99"/>
      <c r="BE31" s="96"/>
      <c r="BF31" s="96"/>
      <c r="BG31" s="96"/>
      <c r="BH31" s="96"/>
    </row>
    <row r="32" spans="2:60" x14ac:dyDescent="0.25">
      <c r="B32" s="261"/>
      <c r="C32" s="5">
        <v>10</v>
      </c>
      <c r="D32" s="5">
        <v>10</v>
      </c>
      <c r="E32" s="5">
        <v>7</v>
      </c>
      <c r="F32" s="6">
        <v>0</v>
      </c>
      <c r="G32" s="5"/>
      <c r="H32" s="96"/>
      <c r="I32" s="3">
        <v>5</v>
      </c>
      <c r="J32" s="91"/>
      <c r="K32" s="91">
        <v>0</v>
      </c>
      <c r="L32" s="91"/>
      <c r="M32" s="6"/>
      <c r="P32" s="96"/>
      <c r="Q32" s="96"/>
      <c r="R32" s="96"/>
      <c r="S32" s="96"/>
      <c r="V32" s="98"/>
      <c r="W32" s="139"/>
      <c r="X32" s="96"/>
      <c r="Y32" s="126"/>
      <c r="Z32" s="113"/>
      <c r="AA32" s="83"/>
      <c r="AB32" s="96"/>
      <c r="AC32" s="96"/>
      <c r="AY32" s="98"/>
      <c r="AZ32" s="99"/>
      <c r="BA32" s="99"/>
      <c r="BB32" s="99"/>
      <c r="BC32" s="99"/>
      <c r="BD32" s="99"/>
      <c r="BE32" s="96"/>
      <c r="BF32" s="96"/>
      <c r="BG32" s="96"/>
      <c r="BH32" s="96"/>
    </row>
    <row r="33" spans="2:60" x14ac:dyDescent="0.25">
      <c r="B33" s="261"/>
      <c r="C33" s="5">
        <v>10</v>
      </c>
      <c r="D33" s="5">
        <v>10</v>
      </c>
      <c r="E33" s="5">
        <v>4</v>
      </c>
      <c r="F33" s="6">
        <v>0</v>
      </c>
      <c r="G33" s="5"/>
      <c r="H33" s="96"/>
      <c r="I33" s="3">
        <v>5</v>
      </c>
      <c r="J33" s="91"/>
      <c r="K33" s="91">
        <v>0</v>
      </c>
      <c r="L33" s="91"/>
      <c r="M33" s="6"/>
      <c r="V33" s="98"/>
      <c r="W33" s="139"/>
      <c r="X33" s="96"/>
      <c r="Y33" s="126"/>
      <c r="Z33" s="113"/>
      <c r="AA33" s="83"/>
      <c r="AB33" s="96"/>
      <c r="AC33" s="96"/>
      <c r="AY33" s="98"/>
      <c r="AZ33" s="99"/>
      <c r="BA33" s="99"/>
      <c r="BB33" s="99"/>
      <c r="BC33" s="99"/>
      <c r="BD33" s="99"/>
      <c r="BE33" s="96"/>
      <c r="BF33" s="96"/>
      <c r="BG33" s="96"/>
      <c r="BH33" s="96"/>
    </row>
    <row r="34" spans="2:60" x14ac:dyDescent="0.25">
      <c r="B34" s="261"/>
      <c r="C34" s="5">
        <v>10</v>
      </c>
      <c r="D34" s="5">
        <v>10</v>
      </c>
      <c r="E34" s="5">
        <v>0</v>
      </c>
      <c r="F34" s="6">
        <v>0</v>
      </c>
      <c r="G34" s="5"/>
      <c r="H34" s="96"/>
      <c r="I34" s="3">
        <v>5</v>
      </c>
      <c r="J34" s="91"/>
      <c r="K34" s="91">
        <v>0</v>
      </c>
      <c r="L34" s="91"/>
      <c r="M34" s="6"/>
      <c r="V34" s="98"/>
      <c r="W34" s="139"/>
      <c r="X34" s="96"/>
      <c r="Y34" s="126"/>
      <c r="Z34" s="113"/>
      <c r="AA34" s="83"/>
      <c r="AB34" s="96"/>
      <c r="AC34" s="96"/>
      <c r="AY34" s="98"/>
      <c r="AZ34" s="99"/>
      <c r="BA34" s="99"/>
      <c r="BB34" s="99"/>
      <c r="BC34" s="99"/>
      <c r="BD34" s="99"/>
      <c r="BE34" s="96"/>
      <c r="BF34" s="96"/>
      <c r="BG34" s="96"/>
      <c r="BH34" s="96"/>
    </row>
    <row r="35" spans="2:60" x14ac:dyDescent="0.25">
      <c r="B35" s="261"/>
      <c r="C35" s="5">
        <v>10</v>
      </c>
      <c r="D35" s="5">
        <v>10</v>
      </c>
      <c r="E35" s="5">
        <v>0</v>
      </c>
      <c r="F35" s="6">
        <v>0</v>
      </c>
      <c r="G35" s="5"/>
      <c r="H35" s="96"/>
      <c r="I35" s="3">
        <v>5</v>
      </c>
      <c r="J35" s="91"/>
      <c r="K35" s="91">
        <v>0</v>
      </c>
      <c r="L35" s="91"/>
      <c r="M35" s="6"/>
      <c r="V35" s="98"/>
      <c r="W35" s="139"/>
      <c r="X35" s="96"/>
      <c r="Y35" s="126"/>
      <c r="Z35" s="113"/>
      <c r="AA35" s="83"/>
      <c r="AB35" s="96"/>
      <c r="AC35" s="96"/>
      <c r="AY35" s="98"/>
      <c r="AZ35" s="99"/>
      <c r="BA35" s="99"/>
      <c r="BB35" s="99"/>
      <c r="BC35" s="99"/>
      <c r="BD35" s="99"/>
      <c r="BE35" s="96"/>
      <c r="BF35" s="96"/>
      <c r="BG35" s="96"/>
      <c r="BH35" s="96"/>
    </row>
    <row r="36" spans="2:60" x14ac:dyDescent="0.25">
      <c r="B36" s="261"/>
      <c r="C36" s="5">
        <v>10</v>
      </c>
      <c r="D36" s="5">
        <v>10</v>
      </c>
      <c r="E36" s="5">
        <v>0</v>
      </c>
      <c r="F36" s="6">
        <v>0</v>
      </c>
      <c r="G36" s="5"/>
      <c r="H36" s="96"/>
      <c r="I36" s="3">
        <v>5</v>
      </c>
      <c r="J36" s="91"/>
      <c r="K36" s="91">
        <v>0</v>
      </c>
      <c r="L36" s="91"/>
      <c r="M36" s="6"/>
      <c r="V36" s="98"/>
      <c r="W36" s="139"/>
      <c r="X36" s="96"/>
      <c r="Y36" s="126"/>
      <c r="Z36" s="113"/>
      <c r="AA36" s="83"/>
      <c r="AB36" s="96"/>
      <c r="AC36" s="96"/>
      <c r="AY36" s="98"/>
      <c r="AZ36" s="99"/>
      <c r="BA36" s="99"/>
      <c r="BB36" s="99"/>
      <c r="BC36" s="99"/>
      <c r="BD36" s="99"/>
      <c r="BE36" s="96"/>
      <c r="BF36" s="96"/>
      <c r="BG36" s="96"/>
      <c r="BH36" s="96"/>
    </row>
    <row r="37" spans="2:60" x14ac:dyDescent="0.25">
      <c r="B37" s="261"/>
      <c r="C37" s="5">
        <v>10</v>
      </c>
      <c r="D37" s="5">
        <v>10</v>
      </c>
      <c r="E37" s="5">
        <v>0</v>
      </c>
      <c r="F37" s="6">
        <v>0</v>
      </c>
      <c r="G37" s="5"/>
      <c r="H37" s="96"/>
      <c r="I37" s="3">
        <v>5</v>
      </c>
      <c r="J37" s="91"/>
      <c r="K37" s="91">
        <v>0</v>
      </c>
      <c r="L37" s="91"/>
      <c r="M37" s="6"/>
      <c r="V37" s="98"/>
      <c r="W37" s="139"/>
      <c r="X37" s="96"/>
      <c r="Y37" s="126"/>
      <c r="Z37" s="113"/>
      <c r="AA37" s="83"/>
      <c r="AB37" s="96"/>
      <c r="AC37" s="96"/>
      <c r="AY37" s="98"/>
      <c r="AZ37" s="99"/>
      <c r="BA37" s="99"/>
      <c r="BB37" s="99"/>
      <c r="BC37" s="99"/>
      <c r="BD37" s="99"/>
      <c r="BE37" s="96"/>
      <c r="BF37" s="96"/>
      <c r="BG37" s="96"/>
      <c r="BH37" s="96"/>
    </row>
    <row r="38" spans="2:60" x14ac:dyDescent="0.25">
      <c r="B38" s="261"/>
      <c r="C38" s="5">
        <v>10</v>
      </c>
      <c r="D38" s="5">
        <v>10</v>
      </c>
      <c r="E38" s="5">
        <v>0</v>
      </c>
      <c r="F38" s="6">
        <v>0</v>
      </c>
      <c r="G38" s="5"/>
      <c r="H38" s="96"/>
      <c r="I38" s="3">
        <v>5</v>
      </c>
      <c r="J38" s="91"/>
      <c r="K38" s="91">
        <v>0</v>
      </c>
      <c r="L38" s="91"/>
      <c r="M38" s="6"/>
      <c r="V38" s="115"/>
      <c r="W38" s="115"/>
      <c r="X38" s="96"/>
      <c r="Y38" s="126"/>
      <c r="Z38" s="113"/>
      <c r="AA38" s="83"/>
      <c r="AB38" s="96"/>
      <c r="AC38" s="96"/>
      <c r="AY38" s="98"/>
      <c r="AZ38" s="99"/>
      <c r="BA38" s="99"/>
      <c r="BB38" s="99"/>
      <c r="BC38" s="99"/>
      <c r="BD38" s="99"/>
      <c r="BE38" s="96"/>
      <c r="BF38" s="96"/>
      <c r="BG38" s="96"/>
      <c r="BH38" s="96"/>
    </row>
    <row r="39" spans="2:60" x14ac:dyDescent="0.25">
      <c r="B39" s="261"/>
      <c r="C39" s="5">
        <v>10</v>
      </c>
      <c r="D39" s="5">
        <v>10</v>
      </c>
      <c r="E39" s="5">
        <v>0</v>
      </c>
      <c r="F39" s="6">
        <v>0</v>
      </c>
      <c r="G39" s="5"/>
      <c r="H39" s="96"/>
      <c r="I39" s="3">
        <v>5</v>
      </c>
      <c r="J39" s="91"/>
      <c r="K39" s="91">
        <v>0</v>
      </c>
      <c r="L39" s="91"/>
      <c r="M39" s="6"/>
      <c r="V39" s="98"/>
      <c r="W39" s="139"/>
      <c r="X39" s="96"/>
      <c r="Y39" s="96"/>
      <c r="Z39" s="96"/>
      <c r="AA39" s="96"/>
      <c r="AB39" s="96"/>
      <c r="AC39" s="96"/>
      <c r="AY39" s="98"/>
      <c r="AZ39" s="99"/>
      <c r="BA39" s="99"/>
      <c r="BB39" s="99"/>
      <c r="BC39" s="99"/>
      <c r="BD39" s="99"/>
      <c r="BE39" s="96"/>
      <c r="BF39" s="96"/>
      <c r="BG39" s="96"/>
      <c r="BH39" s="96"/>
    </row>
    <row r="40" spans="2:60" x14ac:dyDescent="0.25">
      <c r="B40" s="261"/>
      <c r="C40" s="5">
        <v>10</v>
      </c>
      <c r="D40" s="5">
        <v>10</v>
      </c>
      <c r="E40" s="5">
        <v>0</v>
      </c>
      <c r="F40" s="6">
        <v>0</v>
      </c>
      <c r="G40" s="5"/>
      <c r="H40" s="96"/>
      <c r="I40" s="3">
        <v>5</v>
      </c>
      <c r="J40" s="91"/>
      <c r="K40" s="91">
        <v>0</v>
      </c>
      <c r="L40" s="91"/>
      <c r="M40" s="6"/>
      <c r="V40" s="98"/>
      <c r="W40" s="139"/>
      <c r="X40" s="96"/>
      <c r="Y40" s="96"/>
      <c r="Z40" s="96"/>
      <c r="AA40" s="96"/>
      <c r="AB40" s="96"/>
      <c r="AC40" s="96"/>
      <c r="AY40" s="98"/>
      <c r="AZ40" s="99"/>
      <c r="BA40" s="99"/>
      <c r="BB40" s="99"/>
      <c r="BC40" s="99"/>
      <c r="BD40" s="99"/>
      <c r="BE40" s="96"/>
      <c r="BF40" s="96"/>
      <c r="BG40" s="96"/>
      <c r="BH40" s="96"/>
    </row>
    <row r="41" spans="2:60" x14ac:dyDescent="0.25">
      <c r="B41" s="261"/>
      <c r="C41" s="5">
        <v>10</v>
      </c>
      <c r="D41" s="5">
        <v>10</v>
      </c>
      <c r="E41" s="5">
        <v>0</v>
      </c>
      <c r="F41" s="6">
        <v>0</v>
      </c>
      <c r="G41" s="5"/>
      <c r="H41" s="96"/>
      <c r="I41" s="3">
        <v>5</v>
      </c>
      <c r="J41" s="91"/>
      <c r="K41" s="91">
        <v>0</v>
      </c>
      <c r="L41" s="91"/>
      <c r="M41" s="6"/>
      <c r="V41" s="98"/>
      <c r="W41" s="139"/>
      <c r="X41" s="96"/>
      <c r="Y41" s="96"/>
      <c r="Z41" s="96"/>
      <c r="AA41" s="96"/>
      <c r="AB41" s="96"/>
      <c r="AC41" s="96"/>
      <c r="AY41" s="98"/>
      <c r="AZ41" s="99"/>
      <c r="BA41" s="99"/>
      <c r="BB41" s="99"/>
      <c r="BC41" s="99"/>
      <c r="BD41" s="99"/>
      <c r="BE41" s="96"/>
      <c r="BF41" s="96"/>
      <c r="BG41" s="96"/>
      <c r="BH41" s="96"/>
    </row>
    <row r="42" spans="2:60" x14ac:dyDescent="0.25">
      <c r="B42" s="261"/>
      <c r="C42" s="5">
        <v>10</v>
      </c>
      <c r="D42" s="5">
        <v>10</v>
      </c>
      <c r="E42" s="5">
        <v>5</v>
      </c>
      <c r="F42" s="6">
        <v>0</v>
      </c>
      <c r="G42" s="5"/>
      <c r="H42" s="96"/>
      <c r="I42" s="3">
        <v>5</v>
      </c>
      <c r="J42" s="91"/>
      <c r="K42" s="91">
        <v>0</v>
      </c>
      <c r="L42" s="91"/>
      <c r="M42" s="6"/>
      <c r="V42" s="98"/>
      <c r="W42" s="139"/>
      <c r="X42" s="96"/>
      <c r="Y42" s="96"/>
      <c r="Z42" s="96"/>
      <c r="AA42" s="96"/>
      <c r="AB42" s="96"/>
      <c r="AC42" s="96"/>
      <c r="AY42" s="98"/>
      <c r="AZ42" s="99"/>
      <c r="BA42" s="99"/>
      <c r="BB42" s="99"/>
      <c r="BC42" s="99"/>
      <c r="BD42" s="99"/>
      <c r="BE42" s="96"/>
      <c r="BF42" s="96"/>
      <c r="BG42" s="96"/>
      <c r="BH42" s="96"/>
    </row>
    <row r="43" spans="2:60" x14ac:dyDescent="0.25">
      <c r="B43" s="262"/>
      <c r="C43" s="18">
        <v>10</v>
      </c>
      <c r="D43" s="18">
        <v>10</v>
      </c>
      <c r="E43" s="18">
        <v>5</v>
      </c>
      <c r="F43" s="19">
        <v>0</v>
      </c>
      <c r="G43" s="5"/>
      <c r="H43" s="96"/>
      <c r="I43" s="3">
        <v>5</v>
      </c>
      <c r="J43" s="91"/>
      <c r="K43" s="91">
        <v>0</v>
      </c>
      <c r="L43" s="91"/>
      <c r="M43" s="6"/>
      <c r="V43" s="98"/>
      <c r="W43" s="139"/>
      <c r="X43" s="96"/>
      <c r="Y43" s="96"/>
      <c r="Z43" s="96"/>
      <c r="AA43" s="96"/>
      <c r="AB43" s="96"/>
      <c r="AC43" s="96"/>
      <c r="AY43" s="98"/>
      <c r="AZ43" s="99"/>
      <c r="BA43" s="99"/>
      <c r="BB43" s="99"/>
      <c r="BC43" s="99"/>
      <c r="BD43" s="99"/>
      <c r="BE43" s="96"/>
      <c r="BF43" s="96"/>
      <c r="BG43" s="96"/>
      <c r="BH43" s="96"/>
    </row>
    <row r="44" spans="2:60" x14ac:dyDescent="0.25">
      <c r="B44" s="260" t="s">
        <v>98</v>
      </c>
      <c r="C44" s="11">
        <v>9</v>
      </c>
      <c r="D44" s="11">
        <v>8.5</v>
      </c>
      <c r="E44" s="11">
        <v>0</v>
      </c>
      <c r="F44" s="12">
        <v>0</v>
      </c>
      <c r="H44" s="96"/>
      <c r="I44" s="3">
        <v>1</v>
      </c>
      <c r="J44" s="92"/>
      <c r="K44" s="92"/>
      <c r="L44" s="91">
        <v>1</v>
      </c>
      <c r="M44" s="2"/>
      <c r="V44" s="98"/>
      <c r="W44" s="139"/>
      <c r="X44" s="96"/>
      <c r="Y44" s="96"/>
      <c r="Z44" s="96"/>
      <c r="AA44" s="96"/>
      <c r="AB44" s="96"/>
      <c r="AC44" s="96"/>
      <c r="AY44" s="98"/>
      <c r="AZ44" s="99"/>
      <c r="BA44" s="99"/>
      <c r="BB44" s="99"/>
      <c r="BC44" s="99"/>
      <c r="BD44" s="99"/>
      <c r="BE44" s="96"/>
      <c r="BF44" s="96"/>
      <c r="BG44" s="96"/>
      <c r="BH44" s="96"/>
    </row>
    <row r="45" spans="2:60" x14ac:dyDescent="0.25">
      <c r="B45" s="261"/>
      <c r="C45" s="5">
        <v>9</v>
      </c>
      <c r="D45" s="5">
        <v>8.5</v>
      </c>
      <c r="E45" s="5">
        <v>0</v>
      </c>
      <c r="F45" s="6">
        <v>0</v>
      </c>
      <c r="H45" s="96"/>
      <c r="I45" s="3">
        <v>1</v>
      </c>
      <c r="J45" s="92"/>
      <c r="K45" s="92"/>
      <c r="L45" s="91">
        <v>1</v>
      </c>
      <c r="M45" s="2"/>
      <c r="V45" s="96"/>
      <c r="W45" s="96"/>
      <c r="X45" s="96"/>
      <c r="Y45" s="96"/>
      <c r="Z45" s="96"/>
      <c r="AA45" s="96"/>
      <c r="AB45" s="96"/>
      <c r="AC45" s="96"/>
      <c r="AY45" s="98"/>
      <c r="AZ45" s="99"/>
      <c r="BA45" s="99"/>
      <c r="BB45" s="99"/>
      <c r="BC45" s="99"/>
      <c r="BD45" s="99"/>
      <c r="BE45" s="96"/>
      <c r="BF45" s="96"/>
      <c r="BG45" s="96"/>
      <c r="BH45" s="96"/>
    </row>
    <row r="46" spans="2:60" x14ac:dyDescent="0.25">
      <c r="B46" s="261"/>
      <c r="C46" s="5">
        <v>9</v>
      </c>
      <c r="D46" s="5">
        <v>8.5</v>
      </c>
      <c r="E46" s="5">
        <v>0</v>
      </c>
      <c r="F46" s="6">
        <v>0</v>
      </c>
      <c r="H46" s="96"/>
      <c r="I46" s="3">
        <v>1</v>
      </c>
      <c r="J46" s="92"/>
      <c r="K46" s="92"/>
      <c r="L46" s="91">
        <v>1</v>
      </c>
      <c r="M46" s="2"/>
      <c r="V46" s="96"/>
      <c r="W46" s="96"/>
      <c r="X46" s="96"/>
      <c r="Y46" s="96"/>
      <c r="Z46" s="96"/>
      <c r="AA46" s="96"/>
      <c r="AB46" s="96"/>
      <c r="AC46" s="96"/>
      <c r="AY46" s="98"/>
      <c r="AZ46" s="99"/>
      <c r="BA46" s="99"/>
      <c r="BB46" s="99"/>
      <c r="BC46" s="99"/>
      <c r="BD46" s="99"/>
      <c r="BE46" s="96"/>
      <c r="BF46" s="96"/>
      <c r="BG46" s="96"/>
      <c r="BH46" s="96"/>
    </row>
    <row r="47" spans="2:60" x14ac:dyDescent="0.25">
      <c r="B47" s="261"/>
      <c r="C47" s="5">
        <v>9</v>
      </c>
      <c r="D47" s="5">
        <v>9</v>
      </c>
      <c r="E47" s="5">
        <v>0</v>
      </c>
      <c r="F47" s="6">
        <v>0</v>
      </c>
      <c r="H47" s="96"/>
      <c r="I47" s="3">
        <v>1</v>
      </c>
      <c r="J47" s="92"/>
      <c r="K47" s="92"/>
      <c r="L47" s="91">
        <v>1</v>
      </c>
      <c r="M47" s="2"/>
      <c r="V47" s="96"/>
      <c r="W47" s="96"/>
      <c r="X47" s="96"/>
      <c r="Y47" s="96"/>
      <c r="Z47" s="96"/>
      <c r="AA47" s="96"/>
      <c r="AB47" s="96"/>
      <c r="AC47" s="96"/>
      <c r="AY47" s="98"/>
      <c r="AZ47" s="99"/>
      <c r="BA47" s="99"/>
      <c r="BB47" s="99"/>
      <c r="BC47" s="99"/>
      <c r="BD47" s="99"/>
      <c r="BE47" s="96"/>
      <c r="BF47" s="96"/>
      <c r="BG47" s="96"/>
      <c r="BH47" s="96"/>
    </row>
    <row r="48" spans="2:60" x14ac:dyDescent="0.25">
      <c r="B48" s="261"/>
      <c r="C48" s="5">
        <v>10</v>
      </c>
      <c r="D48" s="5">
        <v>9</v>
      </c>
      <c r="E48" s="5">
        <v>0</v>
      </c>
      <c r="F48" s="6">
        <v>0</v>
      </c>
      <c r="H48" s="96"/>
      <c r="I48" s="3">
        <v>1</v>
      </c>
      <c r="J48" s="92"/>
      <c r="K48" s="92"/>
      <c r="L48" s="91">
        <v>1</v>
      </c>
      <c r="M48" s="2"/>
      <c r="V48" s="96"/>
      <c r="W48" s="96"/>
      <c r="X48" s="96"/>
      <c r="Y48" s="96"/>
      <c r="Z48" s="96"/>
      <c r="AA48" s="96"/>
      <c r="AB48" s="96"/>
      <c r="AC48" s="96"/>
      <c r="AY48" s="98"/>
      <c r="AZ48" s="99"/>
      <c r="BA48" s="99"/>
      <c r="BB48" s="99"/>
      <c r="BC48" s="99"/>
      <c r="BD48" s="99"/>
      <c r="BE48" s="96"/>
      <c r="BF48" s="96"/>
      <c r="BG48" s="96"/>
      <c r="BH48" s="96"/>
    </row>
    <row r="49" spans="2:60" x14ac:dyDescent="0.25">
      <c r="B49" s="261"/>
      <c r="C49" s="5">
        <v>10</v>
      </c>
      <c r="D49" s="5">
        <v>9</v>
      </c>
      <c r="E49" s="5">
        <v>0</v>
      </c>
      <c r="F49" s="6">
        <v>0</v>
      </c>
      <c r="H49" s="96"/>
      <c r="I49" s="3">
        <v>1</v>
      </c>
      <c r="J49" s="92"/>
      <c r="K49" s="92"/>
      <c r="L49" s="91">
        <v>1</v>
      </c>
      <c r="M49" s="2"/>
      <c r="V49" s="96"/>
      <c r="W49" s="96"/>
      <c r="X49" s="96"/>
      <c r="Y49" s="96"/>
      <c r="Z49" s="96"/>
      <c r="AA49" s="96"/>
      <c r="AB49" s="96"/>
      <c r="AC49" s="96"/>
      <c r="AY49" s="98"/>
      <c r="AZ49" s="99"/>
      <c r="BA49" s="99"/>
      <c r="BB49" s="99"/>
      <c r="BC49" s="99"/>
      <c r="BD49" s="99"/>
      <c r="BE49" s="96"/>
      <c r="BF49" s="96"/>
      <c r="BG49" s="96"/>
      <c r="BH49" s="96"/>
    </row>
    <row r="50" spans="2:60" x14ac:dyDescent="0.25">
      <c r="B50" s="261"/>
      <c r="C50" s="5">
        <v>10</v>
      </c>
      <c r="D50" s="5">
        <v>9</v>
      </c>
      <c r="E50" s="5">
        <v>0</v>
      </c>
      <c r="F50" s="6">
        <v>0</v>
      </c>
      <c r="H50" s="96"/>
      <c r="I50" s="3">
        <v>1</v>
      </c>
      <c r="J50" s="92"/>
      <c r="K50" s="92"/>
      <c r="L50" s="91">
        <v>1</v>
      </c>
      <c r="M50" s="2"/>
      <c r="AY50" s="98"/>
      <c r="AZ50" s="99"/>
      <c r="BA50" s="99"/>
      <c r="BB50" s="99"/>
      <c r="BC50" s="99"/>
      <c r="BD50" s="99"/>
      <c r="BE50" s="96"/>
      <c r="BF50" s="96"/>
      <c r="BG50" s="96"/>
      <c r="BH50" s="96"/>
    </row>
    <row r="51" spans="2:60" x14ac:dyDescent="0.25">
      <c r="B51" s="261"/>
      <c r="C51" s="5">
        <v>10</v>
      </c>
      <c r="D51" s="5">
        <v>10</v>
      </c>
      <c r="E51" s="5">
        <v>0</v>
      </c>
      <c r="F51" s="6">
        <v>0</v>
      </c>
      <c r="H51" s="96"/>
      <c r="I51" s="3">
        <v>1</v>
      </c>
      <c r="J51" s="92"/>
      <c r="K51" s="92"/>
      <c r="L51" s="91">
        <v>1</v>
      </c>
      <c r="M51" s="2"/>
      <c r="AY51" s="98"/>
      <c r="AZ51" s="99"/>
      <c r="BA51" s="99"/>
      <c r="BB51" s="99"/>
      <c r="BC51" s="99"/>
      <c r="BD51" s="99"/>
      <c r="BE51" s="96"/>
      <c r="BF51" s="96"/>
      <c r="BG51" s="96"/>
      <c r="BH51" s="96"/>
    </row>
    <row r="52" spans="2:60" x14ac:dyDescent="0.25">
      <c r="B52" s="261"/>
      <c r="C52" s="5">
        <v>10</v>
      </c>
      <c r="D52" s="5">
        <v>10</v>
      </c>
      <c r="E52" s="5">
        <v>0</v>
      </c>
      <c r="F52" s="6">
        <v>0</v>
      </c>
      <c r="H52" s="96"/>
      <c r="I52" s="3">
        <v>1</v>
      </c>
      <c r="J52" s="92"/>
      <c r="K52" s="92"/>
      <c r="L52" s="91">
        <v>1</v>
      </c>
      <c r="M52" s="2"/>
      <c r="AY52" s="98"/>
      <c r="AZ52" s="99"/>
      <c r="BA52" s="99"/>
      <c r="BB52" s="99"/>
      <c r="BC52" s="99"/>
      <c r="BD52" s="99"/>
      <c r="BE52" s="96"/>
      <c r="BF52" s="96"/>
      <c r="BG52" s="96"/>
      <c r="BH52" s="96"/>
    </row>
    <row r="53" spans="2:60" x14ac:dyDescent="0.25">
      <c r="B53" s="261"/>
      <c r="C53" s="5">
        <v>10</v>
      </c>
      <c r="D53" s="5">
        <v>10</v>
      </c>
      <c r="E53" s="5">
        <v>6</v>
      </c>
      <c r="F53" s="6">
        <v>0</v>
      </c>
      <c r="H53" s="96"/>
      <c r="I53" s="3">
        <v>1</v>
      </c>
      <c r="J53" s="92"/>
      <c r="K53" s="92"/>
      <c r="L53" s="91">
        <v>1</v>
      </c>
      <c r="M53" s="2"/>
      <c r="AY53" s="293"/>
      <c r="AZ53" s="293"/>
      <c r="BA53" s="293"/>
      <c r="BB53" s="293"/>
      <c r="BC53" s="293"/>
      <c r="BD53" s="293"/>
      <c r="BE53" s="293"/>
      <c r="BF53" s="293"/>
      <c r="BG53" s="293"/>
      <c r="BH53" s="96"/>
    </row>
    <row r="54" spans="2:60" x14ac:dyDescent="0.25">
      <c r="B54" s="261"/>
      <c r="C54" s="5">
        <v>9</v>
      </c>
      <c r="D54" s="5">
        <v>9</v>
      </c>
      <c r="E54" s="5">
        <v>0</v>
      </c>
      <c r="F54" s="6">
        <v>0</v>
      </c>
      <c r="H54" s="96"/>
      <c r="I54" s="3">
        <v>1</v>
      </c>
      <c r="J54" s="92"/>
      <c r="K54" s="92"/>
      <c r="L54" s="91">
        <v>1</v>
      </c>
      <c r="M54" s="2"/>
      <c r="AY54" s="98"/>
      <c r="AZ54" s="99"/>
      <c r="BA54" s="99"/>
      <c r="BB54" s="99"/>
      <c r="BC54" s="99"/>
      <c r="BD54" s="99"/>
      <c r="BE54" s="99"/>
      <c r="BF54" s="99"/>
      <c r="BG54" s="99"/>
      <c r="BH54" s="96"/>
    </row>
    <row r="55" spans="2:60" x14ac:dyDescent="0.25">
      <c r="B55" s="261"/>
      <c r="C55" s="5">
        <v>10</v>
      </c>
      <c r="D55" s="5">
        <v>10</v>
      </c>
      <c r="E55" s="5">
        <v>0</v>
      </c>
      <c r="F55" s="6">
        <v>0</v>
      </c>
      <c r="H55" s="96"/>
      <c r="I55" s="3">
        <v>1</v>
      </c>
      <c r="J55" s="92"/>
      <c r="K55" s="92"/>
      <c r="L55" s="91">
        <v>1</v>
      </c>
      <c r="M55" s="2"/>
      <c r="AY55" s="98"/>
      <c r="AZ55" s="99"/>
      <c r="BA55" s="99"/>
      <c r="BB55" s="99"/>
      <c r="BC55" s="99"/>
      <c r="BD55" s="99"/>
      <c r="BE55" s="99"/>
      <c r="BF55" s="99"/>
      <c r="BG55" s="99"/>
      <c r="BH55" s="96"/>
    </row>
    <row r="56" spans="2:60" x14ac:dyDescent="0.25">
      <c r="B56" s="261"/>
      <c r="C56" s="5">
        <v>10</v>
      </c>
      <c r="D56" s="5">
        <v>10</v>
      </c>
      <c r="E56" s="5">
        <v>0</v>
      </c>
      <c r="F56" s="6">
        <v>0</v>
      </c>
      <c r="H56" s="96"/>
      <c r="I56" s="3">
        <v>1</v>
      </c>
      <c r="J56" s="92"/>
      <c r="K56" s="92"/>
      <c r="L56" s="91">
        <v>1</v>
      </c>
      <c r="M56" s="2"/>
      <c r="AY56" s="98"/>
      <c r="AZ56" s="99"/>
      <c r="BA56" s="99"/>
      <c r="BB56" s="99"/>
      <c r="BC56" s="99"/>
      <c r="BD56" s="99"/>
      <c r="BE56" s="99"/>
      <c r="BF56" s="99"/>
      <c r="BG56" s="99"/>
      <c r="BH56" s="96"/>
    </row>
    <row r="57" spans="2:60" x14ac:dyDescent="0.25">
      <c r="B57" s="261"/>
      <c r="C57" s="5">
        <v>10</v>
      </c>
      <c r="D57" s="5">
        <v>10</v>
      </c>
      <c r="E57" s="5">
        <v>0</v>
      </c>
      <c r="F57" s="6">
        <v>0</v>
      </c>
      <c r="H57" s="96"/>
      <c r="I57" s="3">
        <v>2</v>
      </c>
      <c r="J57" s="92"/>
      <c r="K57" s="92"/>
      <c r="L57" s="91">
        <v>1</v>
      </c>
      <c r="M57" s="2"/>
      <c r="AY57" s="98"/>
      <c r="AZ57" s="99"/>
      <c r="BA57" s="99"/>
      <c r="BB57" s="99"/>
      <c r="BC57" s="99"/>
      <c r="BD57" s="99"/>
      <c r="BE57" s="99"/>
      <c r="BF57" s="99"/>
      <c r="BG57" s="99"/>
      <c r="BH57" s="96"/>
    </row>
    <row r="58" spans="2:60" x14ac:dyDescent="0.25">
      <c r="B58" s="261"/>
      <c r="C58" s="5">
        <v>10</v>
      </c>
      <c r="D58" s="5">
        <v>10</v>
      </c>
      <c r="E58" s="5">
        <v>0</v>
      </c>
      <c r="F58" s="6">
        <v>0</v>
      </c>
      <c r="H58" s="96"/>
      <c r="I58" s="3">
        <v>2</v>
      </c>
      <c r="J58" s="92"/>
      <c r="K58" s="92"/>
      <c r="L58" s="91">
        <v>1</v>
      </c>
      <c r="M58" s="2"/>
      <c r="AY58" s="98"/>
      <c r="AZ58" s="99"/>
      <c r="BA58" s="99"/>
      <c r="BB58" s="99"/>
      <c r="BC58" s="99"/>
      <c r="BD58" s="99"/>
      <c r="BE58" s="99"/>
      <c r="BF58" s="99"/>
      <c r="BG58" s="99"/>
      <c r="BH58" s="96"/>
    </row>
    <row r="59" spans="2:60" x14ac:dyDescent="0.25">
      <c r="B59" s="261"/>
      <c r="C59" s="5">
        <v>10</v>
      </c>
      <c r="D59" s="5">
        <v>10</v>
      </c>
      <c r="E59" s="5">
        <v>0</v>
      </c>
      <c r="F59" s="6">
        <v>0</v>
      </c>
      <c r="H59" s="96"/>
      <c r="I59" s="3">
        <v>2</v>
      </c>
      <c r="J59" s="92"/>
      <c r="K59" s="92"/>
      <c r="L59" s="91">
        <v>1</v>
      </c>
      <c r="M59" s="2"/>
      <c r="AY59" s="98"/>
      <c r="AZ59" s="99"/>
      <c r="BA59" s="99"/>
      <c r="BB59" s="99"/>
      <c r="BC59" s="99"/>
      <c r="BD59" s="99"/>
      <c r="BE59" s="99"/>
      <c r="BF59" s="99"/>
      <c r="BG59" s="99"/>
      <c r="BH59" s="96"/>
    </row>
    <row r="60" spans="2:60" x14ac:dyDescent="0.25">
      <c r="B60" s="261"/>
      <c r="C60" s="5">
        <v>10</v>
      </c>
      <c r="D60" s="5">
        <v>10</v>
      </c>
      <c r="E60" s="5">
        <v>0</v>
      </c>
      <c r="F60" s="6">
        <v>0</v>
      </c>
      <c r="H60" s="96"/>
      <c r="I60" s="3">
        <v>3</v>
      </c>
      <c r="J60" s="92"/>
      <c r="K60" s="92"/>
      <c r="L60" s="91">
        <v>1</v>
      </c>
      <c r="M60" s="2"/>
      <c r="AY60" s="98"/>
      <c r="AZ60" s="99"/>
      <c r="BA60" s="99"/>
      <c r="BB60" s="99"/>
      <c r="BC60" s="99"/>
      <c r="BD60" s="99"/>
      <c r="BE60" s="99"/>
      <c r="BF60" s="99"/>
      <c r="BG60" s="99"/>
      <c r="BH60" s="96"/>
    </row>
    <row r="61" spans="2:60" x14ac:dyDescent="0.25">
      <c r="B61" s="261"/>
      <c r="C61" s="5">
        <v>10</v>
      </c>
      <c r="D61" s="5">
        <v>10</v>
      </c>
      <c r="E61" s="5">
        <v>0</v>
      </c>
      <c r="F61" s="6">
        <v>0</v>
      </c>
      <c r="H61" s="96"/>
      <c r="I61" s="3">
        <v>3</v>
      </c>
      <c r="J61" s="92"/>
      <c r="K61" s="92"/>
      <c r="L61" s="91">
        <v>1</v>
      </c>
      <c r="M61" s="2"/>
      <c r="AY61" s="98"/>
      <c r="AZ61" s="99"/>
      <c r="BA61" s="99"/>
      <c r="BB61" s="99"/>
      <c r="BC61" s="99"/>
      <c r="BD61" s="99"/>
      <c r="BE61" s="99"/>
      <c r="BF61" s="99"/>
      <c r="BG61" s="99"/>
      <c r="BH61" s="96"/>
    </row>
    <row r="62" spans="2:60" x14ac:dyDescent="0.25">
      <c r="B62" s="261"/>
      <c r="C62" s="5">
        <v>10</v>
      </c>
      <c r="D62" s="5">
        <v>10</v>
      </c>
      <c r="E62" s="5">
        <v>0</v>
      </c>
      <c r="F62" s="6">
        <v>0</v>
      </c>
      <c r="H62" s="96"/>
      <c r="I62" s="3">
        <v>5</v>
      </c>
      <c r="J62" s="92"/>
      <c r="K62" s="92"/>
      <c r="L62" s="91">
        <v>1</v>
      </c>
      <c r="M62" s="2"/>
      <c r="AY62" s="98"/>
      <c r="AZ62" s="99"/>
      <c r="BA62" s="99"/>
      <c r="BB62" s="99"/>
      <c r="BC62" s="99"/>
      <c r="BD62" s="99"/>
      <c r="BE62" s="99"/>
      <c r="BF62" s="99"/>
      <c r="BG62" s="99"/>
      <c r="BH62" s="96"/>
    </row>
    <row r="63" spans="2:60" x14ac:dyDescent="0.25">
      <c r="B63" s="262"/>
      <c r="C63" s="18">
        <v>10</v>
      </c>
      <c r="D63" s="18">
        <v>10</v>
      </c>
      <c r="E63" s="18">
        <v>5</v>
      </c>
      <c r="F63" s="19">
        <v>0</v>
      </c>
      <c r="H63" s="96"/>
      <c r="I63" s="3">
        <v>5</v>
      </c>
      <c r="J63" s="92"/>
      <c r="K63" s="92"/>
      <c r="L63" s="91">
        <v>0</v>
      </c>
      <c r="M63" s="2"/>
      <c r="AY63" s="98"/>
      <c r="AZ63" s="99"/>
      <c r="BA63" s="99"/>
      <c r="BB63" s="99"/>
      <c r="BC63" s="99"/>
      <c r="BD63" s="99"/>
      <c r="BE63" s="99"/>
      <c r="BF63" s="99"/>
      <c r="BG63" s="99"/>
      <c r="BH63" s="96"/>
    </row>
    <row r="64" spans="2:60" x14ac:dyDescent="0.25">
      <c r="B64" s="260" t="s">
        <v>61</v>
      </c>
      <c r="C64" s="11">
        <v>9</v>
      </c>
      <c r="D64" s="11">
        <v>8.5</v>
      </c>
      <c r="E64" s="11">
        <v>0</v>
      </c>
      <c r="F64" s="12">
        <v>0</v>
      </c>
      <c r="H64" s="96"/>
      <c r="I64" s="3">
        <v>1</v>
      </c>
      <c r="J64" s="92"/>
      <c r="K64" s="92"/>
      <c r="L64" s="92"/>
      <c r="M64" s="6">
        <v>1</v>
      </c>
      <c r="AY64" s="98"/>
      <c r="AZ64" s="99"/>
      <c r="BA64" s="99"/>
      <c r="BB64" s="99"/>
      <c r="BC64" s="99"/>
      <c r="BD64" s="99"/>
      <c r="BE64" s="99"/>
      <c r="BF64" s="99"/>
      <c r="BG64" s="99"/>
      <c r="BH64" s="96"/>
    </row>
    <row r="65" spans="2:60" x14ac:dyDescent="0.25">
      <c r="B65" s="261"/>
      <c r="C65" s="5">
        <v>9</v>
      </c>
      <c r="D65" s="5">
        <v>8.5</v>
      </c>
      <c r="E65" s="5">
        <v>0</v>
      </c>
      <c r="F65" s="6">
        <v>0</v>
      </c>
      <c r="H65" s="96"/>
      <c r="I65" s="3">
        <v>1</v>
      </c>
      <c r="J65" s="92"/>
      <c r="K65" s="92"/>
      <c r="L65" s="92"/>
      <c r="M65" s="6">
        <v>1</v>
      </c>
      <c r="AY65" s="98"/>
      <c r="AZ65" s="99"/>
      <c r="BA65" s="99"/>
      <c r="BB65" s="99"/>
      <c r="BC65" s="99"/>
      <c r="BD65" s="99"/>
      <c r="BE65" s="99"/>
      <c r="BF65" s="99"/>
      <c r="BG65" s="99"/>
      <c r="BH65" s="96"/>
    </row>
    <row r="66" spans="2:60" x14ac:dyDescent="0.25">
      <c r="B66" s="261"/>
      <c r="C66" s="5">
        <v>9</v>
      </c>
      <c r="D66" s="5">
        <v>8.5</v>
      </c>
      <c r="E66" s="5">
        <v>0</v>
      </c>
      <c r="F66" s="6">
        <v>0</v>
      </c>
      <c r="H66" s="96"/>
      <c r="I66" s="3">
        <v>1</v>
      </c>
      <c r="J66" s="92"/>
      <c r="K66" s="92"/>
      <c r="L66" s="92"/>
      <c r="M66" s="6">
        <v>1</v>
      </c>
      <c r="AY66" s="98"/>
      <c r="AZ66" s="99"/>
      <c r="BA66" s="99"/>
      <c r="BB66" s="99"/>
      <c r="BC66" s="99"/>
      <c r="BD66" s="99"/>
      <c r="BE66" s="99"/>
      <c r="BF66" s="99"/>
      <c r="BG66" s="99"/>
      <c r="BH66" s="96"/>
    </row>
    <row r="67" spans="2:60" x14ac:dyDescent="0.25">
      <c r="B67" s="261"/>
      <c r="C67" s="5">
        <v>9</v>
      </c>
      <c r="D67" s="5">
        <v>9</v>
      </c>
      <c r="E67" s="5">
        <v>0</v>
      </c>
      <c r="F67" s="6">
        <v>0</v>
      </c>
      <c r="H67" s="96"/>
      <c r="I67" s="3">
        <v>1</v>
      </c>
      <c r="J67" s="92"/>
      <c r="K67" s="92"/>
      <c r="L67" s="92"/>
      <c r="M67" s="6">
        <v>1</v>
      </c>
      <c r="AY67" s="98"/>
      <c r="AZ67" s="99"/>
      <c r="BA67" s="99"/>
      <c r="BB67" s="99"/>
      <c r="BC67" s="99"/>
      <c r="BD67" s="99"/>
      <c r="BE67" s="99"/>
      <c r="BF67" s="99"/>
      <c r="BG67" s="99"/>
      <c r="BH67" s="96"/>
    </row>
    <row r="68" spans="2:60" x14ac:dyDescent="0.25">
      <c r="B68" s="261"/>
      <c r="C68" s="5">
        <v>10</v>
      </c>
      <c r="D68" s="5">
        <v>9</v>
      </c>
      <c r="E68" s="5">
        <v>0</v>
      </c>
      <c r="F68" s="6">
        <v>0</v>
      </c>
      <c r="H68" s="96"/>
      <c r="I68" s="3">
        <v>1</v>
      </c>
      <c r="J68" s="92"/>
      <c r="K68" s="92"/>
      <c r="L68" s="92"/>
      <c r="M68" s="6">
        <v>1</v>
      </c>
      <c r="AY68" s="98"/>
      <c r="AZ68" s="99"/>
      <c r="BA68" s="99"/>
      <c r="BB68" s="99"/>
      <c r="BC68" s="99"/>
      <c r="BD68" s="99"/>
      <c r="BE68" s="99"/>
      <c r="BF68" s="99"/>
      <c r="BG68" s="99"/>
      <c r="BH68" s="96"/>
    </row>
    <row r="69" spans="2:60" x14ac:dyDescent="0.25">
      <c r="B69" s="261"/>
      <c r="C69" s="5">
        <v>10</v>
      </c>
      <c r="D69" s="5">
        <v>9</v>
      </c>
      <c r="E69" s="5">
        <v>0</v>
      </c>
      <c r="F69" s="6">
        <v>0</v>
      </c>
      <c r="H69" s="96"/>
      <c r="I69" s="3">
        <v>1</v>
      </c>
      <c r="J69" s="92"/>
      <c r="K69" s="92"/>
      <c r="L69" s="92"/>
      <c r="M69" s="6">
        <v>1</v>
      </c>
      <c r="AY69" s="98"/>
      <c r="AZ69" s="99"/>
      <c r="BA69" s="99"/>
      <c r="BB69" s="99"/>
      <c r="BC69" s="99"/>
      <c r="BD69" s="99"/>
      <c r="BE69" s="99"/>
      <c r="BF69" s="99"/>
      <c r="BG69" s="99"/>
      <c r="BH69" s="96"/>
    </row>
    <row r="70" spans="2:60" x14ac:dyDescent="0.25">
      <c r="B70" s="261"/>
      <c r="C70" s="5">
        <v>10</v>
      </c>
      <c r="D70" s="5">
        <v>9</v>
      </c>
      <c r="E70" s="5">
        <v>0</v>
      </c>
      <c r="F70" s="6">
        <v>0</v>
      </c>
      <c r="H70" s="96"/>
      <c r="I70" s="3">
        <v>1</v>
      </c>
      <c r="J70" s="92"/>
      <c r="K70" s="92"/>
      <c r="L70" s="92"/>
      <c r="M70" s="6">
        <v>1</v>
      </c>
      <c r="AY70" s="98"/>
      <c r="AZ70" s="99"/>
      <c r="BA70" s="99"/>
      <c r="BB70" s="99"/>
      <c r="BC70" s="99"/>
      <c r="BD70" s="99"/>
      <c r="BE70" s="99"/>
      <c r="BF70" s="99"/>
      <c r="BG70" s="99"/>
      <c r="BH70" s="96"/>
    </row>
    <row r="71" spans="2:60" x14ac:dyDescent="0.25">
      <c r="B71" s="261"/>
      <c r="C71" s="5">
        <v>10</v>
      </c>
      <c r="D71" s="5">
        <v>10</v>
      </c>
      <c r="E71" s="5">
        <v>0</v>
      </c>
      <c r="F71" s="6">
        <v>0</v>
      </c>
      <c r="H71" s="96"/>
      <c r="I71" s="3">
        <v>1</v>
      </c>
      <c r="J71" s="92"/>
      <c r="K71" s="92"/>
      <c r="L71" s="92"/>
      <c r="M71" s="6">
        <v>1</v>
      </c>
      <c r="AY71" s="98"/>
      <c r="AZ71" s="99"/>
      <c r="BA71" s="99"/>
      <c r="BB71" s="99"/>
      <c r="BC71" s="99"/>
      <c r="BD71" s="99"/>
      <c r="BE71" s="99"/>
      <c r="BF71" s="99"/>
      <c r="BG71" s="99"/>
      <c r="BH71" s="96"/>
    </row>
    <row r="72" spans="2:60" x14ac:dyDescent="0.25">
      <c r="B72" s="261"/>
      <c r="C72" s="5">
        <v>10</v>
      </c>
      <c r="D72" s="5">
        <v>10</v>
      </c>
      <c r="E72" s="5">
        <v>0</v>
      </c>
      <c r="F72" s="6">
        <v>0</v>
      </c>
      <c r="H72" s="96"/>
      <c r="I72" s="3">
        <v>1</v>
      </c>
      <c r="J72" s="92"/>
      <c r="K72" s="92"/>
      <c r="L72" s="92"/>
      <c r="M72" s="6">
        <v>1</v>
      </c>
      <c r="AY72" s="98"/>
      <c r="AZ72" s="99"/>
      <c r="BA72" s="99"/>
      <c r="BB72" s="99"/>
      <c r="BC72" s="99"/>
      <c r="BD72" s="99"/>
      <c r="BE72" s="99"/>
      <c r="BF72" s="99"/>
      <c r="BG72" s="99"/>
      <c r="BH72" s="96"/>
    </row>
    <row r="73" spans="2:60" x14ac:dyDescent="0.25">
      <c r="B73" s="261"/>
      <c r="C73" s="5">
        <v>10</v>
      </c>
      <c r="D73" s="5">
        <v>10</v>
      </c>
      <c r="E73" s="5">
        <v>7</v>
      </c>
      <c r="F73" s="6">
        <v>0</v>
      </c>
      <c r="H73" s="96"/>
      <c r="I73" s="3">
        <v>1</v>
      </c>
      <c r="J73" s="92"/>
      <c r="K73" s="92"/>
      <c r="L73" s="92"/>
      <c r="M73" s="6">
        <v>1</v>
      </c>
      <c r="AY73" s="98"/>
      <c r="AZ73" s="99"/>
      <c r="BA73" s="99"/>
      <c r="BB73" s="99"/>
      <c r="BC73" s="99"/>
      <c r="BD73" s="99"/>
      <c r="BE73" s="99"/>
      <c r="BF73" s="99"/>
      <c r="BG73" s="99"/>
      <c r="BH73" s="96"/>
    </row>
    <row r="74" spans="2:60" x14ac:dyDescent="0.25">
      <c r="B74" s="261"/>
      <c r="C74" s="5">
        <v>9</v>
      </c>
      <c r="D74" s="5">
        <v>9</v>
      </c>
      <c r="E74" s="5">
        <v>0</v>
      </c>
      <c r="F74" s="6">
        <v>0</v>
      </c>
      <c r="H74" s="96"/>
      <c r="I74" s="3">
        <v>1</v>
      </c>
      <c r="J74" s="92"/>
      <c r="K74" s="92"/>
      <c r="L74" s="92"/>
      <c r="M74" s="6">
        <v>1</v>
      </c>
      <c r="AY74" s="98"/>
      <c r="AZ74" s="99"/>
      <c r="BA74" s="99"/>
      <c r="BB74" s="99"/>
      <c r="BC74" s="99"/>
      <c r="BD74" s="99"/>
      <c r="BE74" s="99"/>
      <c r="BF74" s="99"/>
      <c r="BG74" s="99"/>
      <c r="BH74" s="96"/>
    </row>
    <row r="75" spans="2:60" x14ac:dyDescent="0.25">
      <c r="B75" s="261"/>
      <c r="C75" s="5">
        <v>10</v>
      </c>
      <c r="D75" s="5">
        <v>10</v>
      </c>
      <c r="E75" s="5">
        <v>0</v>
      </c>
      <c r="F75" s="6">
        <v>0</v>
      </c>
      <c r="H75" s="96"/>
      <c r="I75" s="3">
        <v>1</v>
      </c>
      <c r="J75" s="92"/>
      <c r="K75" s="92"/>
      <c r="L75" s="92"/>
      <c r="M75" s="6">
        <v>1</v>
      </c>
      <c r="AY75" s="98"/>
      <c r="AZ75" s="99"/>
      <c r="BA75" s="99"/>
      <c r="BB75" s="99"/>
      <c r="BC75" s="99"/>
      <c r="BD75" s="99"/>
      <c r="BE75" s="99"/>
      <c r="BF75" s="99"/>
      <c r="BG75" s="99"/>
      <c r="BH75" s="96"/>
    </row>
    <row r="76" spans="2:60" x14ac:dyDescent="0.25">
      <c r="B76" s="261"/>
      <c r="C76" s="5">
        <v>10</v>
      </c>
      <c r="D76" s="5">
        <v>10</v>
      </c>
      <c r="E76" s="5">
        <v>0</v>
      </c>
      <c r="F76" s="6">
        <v>0</v>
      </c>
      <c r="H76" s="96"/>
      <c r="I76" s="3">
        <v>1</v>
      </c>
      <c r="J76" s="92"/>
      <c r="K76" s="92"/>
      <c r="L76" s="92"/>
      <c r="M76" s="6">
        <v>1</v>
      </c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2:60" x14ac:dyDescent="0.25">
      <c r="B77" s="261"/>
      <c r="C77" s="5">
        <v>10</v>
      </c>
      <c r="D77" s="5">
        <v>10</v>
      </c>
      <c r="E77" s="5">
        <v>0</v>
      </c>
      <c r="F77" s="6">
        <v>0</v>
      </c>
      <c r="H77" s="96"/>
      <c r="I77" s="3">
        <v>1</v>
      </c>
      <c r="J77" s="92"/>
      <c r="K77" s="92"/>
      <c r="L77" s="92"/>
      <c r="M77" s="6">
        <v>1</v>
      </c>
      <c r="AY77" s="96"/>
      <c r="AZ77" s="96"/>
      <c r="BA77" s="96"/>
      <c r="BB77" s="96"/>
      <c r="BC77" s="96"/>
      <c r="BD77" s="96"/>
      <c r="BE77" s="96"/>
      <c r="BF77" s="96"/>
      <c r="BG77" s="96"/>
      <c r="BH77" s="96"/>
    </row>
    <row r="78" spans="2:60" x14ac:dyDescent="0.25">
      <c r="B78" s="261"/>
      <c r="C78" s="5">
        <v>10</v>
      </c>
      <c r="D78" s="5">
        <v>10</v>
      </c>
      <c r="E78" s="5">
        <v>0</v>
      </c>
      <c r="F78" s="6">
        <v>0</v>
      </c>
      <c r="H78" s="96"/>
      <c r="I78" s="3">
        <v>1</v>
      </c>
      <c r="J78" s="92"/>
      <c r="K78" s="92"/>
      <c r="L78" s="92"/>
      <c r="M78" s="6">
        <v>1</v>
      </c>
      <c r="AY78" s="96"/>
      <c r="AZ78" s="96"/>
      <c r="BA78" s="96"/>
      <c r="BB78" s="96"/>
      <c r="BC78" s="96"/>
      <c r="BD78" s="96"/>
      <c r="BE78" s="96"/>
      <c r="BF78" s="96"/>
      <c r="BG78" s="96"/>
      <c r="BH78" s="96"/>
    </row>
    <row r="79" spans="2:60" x14ac:dyDescent="0.25">
      <c r="B79" s="261"/>
      <c r="C79" s="5">
        <v>10</v>
      </c>
      <c r="D79" s="5">
        <v>10</v>
      </c>
      <c r="E79" s="5">
        <v>0</v>
      </c>
      <c r="F79" s="6">
        <v>0</v>
      </c>
      <c r="H79" s="96"/>
      <c r="I79" s="3">
        <v>1</v>
      </c>
      <c r="J79" s="92"/>
      <c r="K79" s="92"/>
      <c r="L79" s="92"/>
      <c r="M79" s="6">
        <v>1</v>
      </c>
      <c r="AY79" s="96"/>
      <c r="AZ79" s="96"/>
      <c r="BA79" s="96"/>
      <c r="BB79" s="96"/>
      <c r="BC79" s="96"/>
      <c r="BD79" s="96"/>
      <c r="BE79" s="96"/>
      <c r="BF79" s="96"/>
      <c r="BG79" s="96"/>
      <c r="BH79" s="96"/>
    </row>
    <row r="80" spans="2:60" x14ac:dyDescent="0.25">
      <c r="B80" s="261"/>
      <c r="C80" s="5">
        <v>10</v>
      </c>
      <c r="D80" s="5">
        <v>10</v>
      </c>
      <c r="E80" s="5">
        <v>0</v>
      </c>
      <c r="F80" s="6">
        <v>0</v>
      </c>
      <c r="H80" s="96"/>
      <c r="I80" s="3">
        <v>1</v>
      </c>
      <c r="J80" s="92"/>
      <c r="K80" s="92"/>
      <c r="L80" s="92"/>
      <c r="M80" s="6">
        <v>1</v>
      </c>
      <c r="AY80" s="96"/>
      <c r="AZ80" s="96"/>
      <c r="BA80" s="96"/>
      <c r="BB80" s="96"/>
      <c r="BC80" s="96"/>
      <c r="BD80" s="96"/>
      <c r="BE80" s="96"/>
      <c r="BF80" s="96"/>
      <c r="BG80" s="96"/>
      <c r="BH80" s="96"/>
    </row>
    <row r="81" spans="2:13" x14ac:dyDescent="0.25">
      <c r="B81" s="261"/>
      <c r="C81" s="5">
        <v>10</v>
      </c>
      <c r="D81" s="5">
        <v>10</v>
      </c>
      <c r="E81" s="5">
        <v>0</v>
      </c>
      <c r="F81" s="6">
        <v>0</v>
      </c>
      <c r="H81" s="96"/>
      <c r="I81" s="3">
        <v>1</v>
      </c>
      <c r="J81" s="92"/>
      <c r="K81" s="92"/>
      <c r="L81" s="92"/>
      <c r="M81" s="6">
        <v>1</v>
      </c>
    </row>
    <row r="82" spans="2:13" x14ac:dyDescent="0.25">
      <c r="B82" s="261"/>
      <c r="C82" s="5">
        <v>10</v>
      </c>
      <c r="D82" s="5">
        <v>10</v>
      </c>
      <c r="E82" s="5">
        <v>0</v>
      </c>
      <c r="F82" s="6">
        <v>0</v>
      </c>
      <c r="H82" s="96"/>
      <c r="I82" s="3">
        <v>1</v>
      </c>
      <c r="J82" s="92"/>
      <c r="K82" s="92"/>
      <c r="L82" s="92"/>
      <c r="M82" s="6">
        <v>1</v>
      </c>
    </row>
    <row r="83" spans="2:13" x14ac:dyDescent="0.25">
      <c r="B83" s="262"/>
      <c r="C83" s="18">
        <v>10</v>
      </c>
      <c r="D83" s="18">
        <v>10</v>
      </c>
      <c r="E83" s="18">
        <v>5</v>
      </c>
      <c r="F83" s="19">
        <v>0</v>
      </c>
      <c r="H83" s="96"/>
      <c r="I83" s="17">
        <v>2</v>
      </c>
      <c r="J83" s="15"/>
      <c r="K83" s="15"/>
      <c r="L83" s="15"/>
      <c r="M83" s="19">
        <v>1</v>
      </c>
    </row>
    <row r="84" spans="2:13" x14ac:dyDescent="0.25">
      <c r="B84" s="260" t="s">
        <v>62</v>
      </c>
      <c r="C84" s="11">
        <v>9</v>
      </c>
      <c r="D84" s="11">
        <v>8</v>
      </c>
      <c r="E84" s="11">
        <v>0</v>
      </c>
      <c r="F84" s="12">
        <v>0</v>
      </c>
    </row>
    <row r="85" spans="2:13" x14ac:dyDescent="0.25">
      <c r="B85" s="261"/>
      <c r="C85" s="5">
        <v>9</v>
      </c>
      <c r="D85" s="5">
        <v>8</v>
      </c>
      <c r="E85" s="5">
        <v>0</v>
      </c>
      <c r="F85" s="6">
        <v>0</v>
      </c>
    </row>
    <row r="86" spans="2:13" x14ac:dyDescent="0.25">
      <c r="B86" s="261"/>
      <c r="C86" s="5">
        <v>9</v>
      </c>
      <c r="D86" s="5">
        <v>8</v>
      </c>
      <c r="E86" s="5">
        <v>0</v>
      </c>
      <c r="F86" s="6">
        <v>0</v>
      </c>
    </row>
    <row r="87" spans="2:13" x14ac:dyDescent="0.25">
      <c r="B87" s="261"/>
      <c r="C87" s="5">
        <v>8</v>
      </c>
      <c r="D87" s="5">
        <v>9</v>
      </c>
      <c r="E87" s="5">
        <v>0</v>
      </c>
      <c r="F87" s="6">
        <v>0</v>
      </c>
    </row>
    <row r="88" spans="2:13" x14ac:dyDescent="0.25">
      <c r="B88" s="261"/>
      <c r="C88" s="5">
        <v>8</v>
      </c>
      <c r="D88" s="5">
        <v>9</v>
      </c>
      <c r="E88" s="5">
        <v>0</v>
      </c>
      <c r="F88" s="6">
        <v>0</v>
      </c>
    </row>
    <row r="89" spans="2:13" x14ac:dyDescent="0.25">
      <c r="B89" s="261"/>
      <c r="C89" s="5">
        <v>10</v>
      </c>
      <c r="D89" s="5">
        <v>9</v>
      </c>
      <c r="E89" s="5">
        <v>0</v>
      </c>
      <c r="F89" s="6">
        <v>0</v>
      </c>
    </row>
    <row r="90" spans="2:13" x14ac:dyDescent="0.25">
      <c r="B90" s="261"/>
      <c r="C90" s="5">
        <v>10</v>
      </c>
      <c r="D90" s="5">
        <v>9</v>
      </c>
      <c r="E90" s="5">
        <v>0</v>
      </c>
      <c r="F90" s="6">
        <v>0</v>
      </c>
    </row>
    <row r="91" spans="2:13" x14ac:dyDescent="0.25">
      <c r="B91" s="261"/>
      <c r="C91" s="5">
        <v>10</v>
      </c>
      <c r="D91" s="5">
        <v>10</v>
      </c>
      <c r="E91" s="5">
        <v>0</v>
      </c>
      <c r="F91" s="6">
        <v>0</v>
      </c>
    </row>
    <row r="92" spans="2:13" x14ac:dyDescent="0.25">
      <c r="B92" s="261"/>
      <c r="C92" s="5">
        <v>10</v>
      </c>
      <c r="D92" s="5">
        <v>10</v>
      </c>
      <c r="E92" s="5">
        <v>0</v>
      </c>
      <c r="F92" s="6">
        <v>0</v>
      </c>
    </row>
    <row r="93" spans="2:13" x14ac:dyDescent="0.25">
      <c r="B93" s="261"/>
      <c r="C93" s="5">
        <v>10</v>
      </c>
      <c r="D93" s="5">
        <v>10</v>
      </c>
      <c r="E93" s="5">
        <v>0</v>
      </c>
      <c r="F93" s="6">
        <v>0</v>
      </c>
    </row>
    <row r="94" spans="2:13" x14ac:dyDescent="0.25">
      <c r="B94" s="261"/>
      <c r="C94" s="5">
        <v>9</v>
      </c>
      <c r="D94" s="5">
        <v>9</v>
      </c>
      <c r="E94" s="5">
        <v>0</v>
      </c>
      <c r="F94" s="6">
        <v>0</v>
      </c>
    </row>
    <row r="95" spans="2:13" x14ac:dyDescent="0.25">
      <c r="B95" s="261"/>
      <c r="C95" s="5">
        <v>10</v>
      </c>
      <c r="D95" s="5">
        <v>10</v>
      </c>
      <c r="E95" s="5">
        <v>0</v>
      </c>
      <c r="F95" s="6">
        <v>0</v>
      </c>
    </row>
    <row r="96" spans="2:13" x14ac:dyDescent="0.25">
      <c r="B96" s="261"/>
      <c r="C96" s="5">
        <v>10</v>
      </c>
      <c r="D96" s="5">
        <v>10</v>
      </c>
      <c r="E96" s="5">
        <v>0</v>
      </c>
      <c r="F96" s="6">
        <v>0</v>
      </c>
    </row>
    <row r="97" spans="2:6" x14ac:dyDescent="0.25">
      <c r="B97" s="261"/>
      <c r="C97" s="5">
        <v>10</v>
      </c>
      <c r="D97" s="5">
        <v>10</v>
      </c>
      <c r="E97" s="5">
        <v>0</v>
      </c>
      <c r="F97" s="6">
        <v>0</v>
      </c>
    </row>
    <row r="98" spans="2:6" x14ac:dyDescent="0.25">
      <c r="B98" s="261"/>
      <c r="C98" s="5">
        <v>10</v>
      </c>
      <c r="D98" s="5">
        <v>10</v>
      </c>
      <c r="E98" s="5">
        <v>0</v>
      </c>
      <c r="F98" s="6">
        <v>0</v>
      </c>
    </row>
    <row r="99" spans="2:6" x14ac:dyDescent="0.25">
      <c r="B99" s="261"/>
      <c r="C99" s="5">
        <v>10</v>
      </c>
      <c r="D99" s="5">
        <v>10</v>
      </c>
      <c r="E99" s="5">
        <v>0</v>
      </c>
      <c r="F99" s="6">
        <v>0</v>
      </c>
    </row>
    <row r="100" spans="2:6" x14ac:dyDescent="0.25">
      <c r="B100" s="261"/>
      <c r="C100" s="5">
        <v>10</v>
      </c>
      <c r="D100" s="5">
        <v>10</v>
      </c>
      <c r="E100" s="5">
        <v>0</v>
      </c>
      <c r="F100" s="6">
        <v>0</v>
      </c>
    </row>
    <row r="101" spans="2:6" x14ac:dyDescent="0.25">
      <c r="B101" s="261"/>
      <c r="C101" s="5">
        <v>10</v>
      </c>
      <c r="D101" s="5">
        <v>10</v>
      </c>
      <c r="E101" s="5">
        <v>0</v>
      </c>
      <c r="F101" s="6">
        <v>0</v>
      </c>
    </row>
    <row r="102" spans="2:6" x14ac:dyDescent="0.25">
      <c r="B102" s="261"/>
      <c r="C102" s="5">
        <v>10</v>
      </c>
      <c r="D102" s="5">
        <v>10</v>
      </c>
      <c r="E102" s="5">
        <v>0</v>
      </c>
      <c r="F102" s="6">
        <v>0</v>
      </c>
    </row>
    <row r="103" spans="2:6" x14ac:dyDescent="0.25">
      <c r="B103" s="262"/>
      <c r="C103" s="18">
        <v>10</v>
      </c>
      <c r="D103" s="18">
        <v>10</v>
      </c>
      <c r="E103" s="18">
        <v>5</v>
      </c>
      <c r="F103" s="19">
        <v>0</v>
      </c>
    </row>
  </sheetData>
  <mergeCells count="10">
    <mergeCell ref="B84:B103"/>
    <mergeCell ref="AY26:BG26"/>
    <mergeCell ref="B44:B63"/>
    <mergeCell ref="AY53:BG53"/>
    <mergeCell ref="B24:B43"/>
    <mergeCell ref="B4:B23"/>
    <mergeCell ref="B2:F2"/>
    <mergeCell ref="P2:S2"/>
    <mergeCell ref="I2:M2"/>
    <mergeCell ref="B64:B8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1DE1-A53E-4FE0-99DE-F17C19B12136}">
  <dimension ref="B1:AH115"/>
  <sheetViews>
    <sheetView zoomScale="86" workbookViewId="0">
      <selection activeCell="W22" sqref="W22"/>
    </sheetView>
  </sheetViews>
  <sheetFormatPr defaultRowHeight="15" x14ac:dyDescent="0.25"/>
  <cols>
    <col min="2" max="2" width="20" customWidth="1"/>
    <col min="11" max="11" width="14.85546875" customWidth="1"/>
  </cols>
  <sheetData>
    <row r="1" spans="2:34" x14ac:dyDescent="0.25">
      <c r="B1" s="121" t="s">
        <v>225</v>
      </c>
    </row>
    <row r="2" spans="2:34" x14ac:dyDescent="0.25">
      <c r="B2" s="119"/>
      <c r="C2" s="119"/>
      <c r="D2" s="119"/>
      <c r="E2" s="119"/>
      <c r="F2" s="119"/>
      <c r="G2" s="119"/>
      <c r="H2" s="119"/>
      <c r="I2" s="119"/>
      <c r="K2" s="254" t="s">
        <v>1</v>
      </c>
      <c r="L2" s="255"/>
      <c r="M2" s="255"/>
      <c r="N2" s="255"/>
      <c r="O2" s="255"/>
      <c r="P2" s="255"/>
      <c r="Q2" s="255"/>
      <c r="R2" s="256"/>
      <c r="T2" s="115"/>
      <c r="U2" s="115"/>
      <c r="V2" s="115"/>
      <c r="W2" s="115"/>
      <c r="X2" s="115"/>
      <c r="Y2" s="115"/>
      <c r="Z2" s="115"/>
      <c r="AA2" s="115"/>
      <c r="AB2" s="96"/>
    </row>
    <row r="3" spans="2:34" x14ac:dyDescent="0.25">
      <c r="B3" s="20" t="s">
        <v>2</v>
      </c>
      <c r="C3" s="57" t="s">
        <v>3</v>
      </c>
      <c r="D3" s="85" t="s">
        <v>4</v>
      </c>
      <c r="E3" s="86" t="s">
        <v>5</v>
      </c>
      <c r="F3" s="13"/>
      <c r="G3" s="13"/>
      <c r="H3" s="13"/>
      <c r="I3" s="96"/>
      <c r="K3" s="7"/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9" t="s">
        <v>12</v>
      </c>
      <c r="T3" s="165"/>
      <c r="U3" s="165"/>
      <c r="V3" s="165"/>
      <c r="W3" s="165"/>
      <c r="X3" s="165"/>
      <c r="Y3" s="165"/>
      <c r="Z3" s="165"/>
      <c r="AA3" s="165"/>
      <c r="AB3" s="96"/>
    </row>
    <row r="4" spans="2:34" x14ac:dyDescent="0.25">
      <c r="B4" s="21">
        <v>3</v>
      </c>
      <c r="C4" s="13">
        <v>1</v>
      </c>
      <c r="D4" s="13"/>
      <c r="E4" s="22"/>
      <c r="F4" s="13"/>
      <c r="G4" s="122" t="s">
        <v>223</v>
      </c>
      <c r="H4" s="13"/>
      <c r="I4" s="96"/>
      <c r="K4" s="257" t="s">
        <v>3</v>
      </c>
      <c r="L4" s="11">
        <v>10</v>
      </c>
      <c r="M4" s="11">
        <v>9</v>
      </c>
      <c r="N4" s="11">
        <v>9</v>
      </c>
      <c r="O4" s="11">
        <v>9</v>
      </c>
      <c r="P4" s="11">
        <v>10</v>
      </c>
      <c r="Q4" s="11">
        <v>10</v>
      </c>
      <c r="R4" s="12">
        <v>10</v>
      </c>
      <c r="T4" s="165"/>
      <c r="U4" s="165"/>
      <c r="V4" s="165"/>
      <c r="W4" s="165"/>
      <c r="X4" s="165"/>
      <c r="Y4" s="165"/>
      <c r="Z4" s="165"/>
      <c r="AA4" s="165"/>
      <c r="AB4" s="96"/>
    </row>
    <row r="5" spans="2:34" x14ac:dyDescent="0.25">
      <c r="B5" s="21">
        <v>4</v>
      </c>
      <c r="C5" s="13">
        <v>1</v>
      </c>
      <c r="D5" s="13"/>
      <c r="E5" s="22"/>
      <c r="F5" s="13"/>
      <c r="G5" s="122" t="s">
        <v>224</v>
      </c>
      <c r="H5" s="13"/>
      <c r="I5" s="96"/>
      <c r="K5" s="258"/>
      <c r="L5" s="5">
        <v>10</v>
      </c>
      <c r="M5" s="5">
        <v>10</v>
      </c>
      <c r="N5" s="5">
        <v>10</v>
      </c>
      <c r="O5" s="5">
        <v>10</v>
      </c>
      <c r="P5" s="5">
        <v>10</v>
      </c>
      <c r="Q5" s="5">
        <v>10</v>
      </c>
      <c r="R5" s="6">
        <v>10</v>
      </c>
      <c r="T5" s="165"/>
      <c r="U5" s="165"/>
      <c r="V5" s="165"/>
      <c r="W5" s="165"/>
      <c r="X5" s="165"/>
      <c r="Y5" s="165"/>
      <c r="Z5" s="165"/>
      <c r="AA5" s="165"/>
      <c r="AB5" s="96"/>
    </row>
    <row r="6" spans="2:34" x14ac:dyDescent="0.25">
      <c r="B6" s="21">
        <v>7</v>
      </c>
      <c r="C6" s="13">
        <v>0</v>
      </c>
      <c r="D6" s="13"/>
      <c r="E6" s="22"/>
      <c r="F6" s="13"/>
      <c r="G6" s="13"/>
      <c r="H6" s="13"/>
      <c r="I6" s="96"/>
      <c r="K6" s="258"/>
      <c r="L6" s="5">
        <v>10</v>
      </c>
      <c r="M6" s="5">
        <v>10</v>
      </c>
      <c r="N6" s="5">
        <v>10</v>
      </c>
      <c r="O6" s="5">
        <v>10</v>
      </c>
      <c r="P6" s="5">
        <v>10</v>
      </c>
      <c r="Q6" s="5">
        <v>10</v>
      </c>
      <c r="R6" s="6">
        <v>10</v>
      </c>
      <c r="T6" s="165"/>
      <c r="U6" s="165"/>
      <c r="V6" s="165"/>
      <c r="W6" s="165"/>
      <c r="X6" s="165"/>
      <c r="Y6" s="165"/>
      <c r="Z6" s="165"/>
      <c r="AA6" s="165"/>
      <c r="AB6" s="96"/>
    </row>
    <row r="7" spans="2:34" x14ac:dyDescent="0.25">
      <c r="B7" s="21">
        <v>7</v>
      </c>
      <c r="C7" s="13">
        <v>0</v>
      </c>
      <c r="D7" s="13"/>
      <c r="E7" s="22"/>
      <c r="F7" s="13"/>
      <c r="G7" s="13"/>
      <c r="H7" s="13"/>
      <c r="I7" s="13"/>
      <c r="K7" s="258"/>
      <c r="L7" s="5">
        <v>10</v>
      </c>
      <c r="M7" s="5">
        <v>10</v>
      </c>
      <c r="N7" s="5">
        <v>10</v>
      </c>
      <c r="O7" s="5">
        <v>10</v>
      </c>
      <c r="P7" s="5">
        <v>10</v>
      </c>
      <c r="Q7" s="5">
        <v>10</v>
      </c>
      <c r="R7" s="6">
        <v>10</v>
      </c>
      <c r="T7" s="96"/>
      <c r="U7" s="96"/>
      <c r="V7" s="96"/>
      <c r="W7" s="96"/>
      <c r="X7" s="96"/>
      <c r="Y7" s="96"/>
      <c r="Z7" s="96"/>
      <c r="AA7" s="96"/>
      <c r="AB7" s="96"/>
    </row>
    <row r="8" spans="2:34" x14ac:dyDescent="0.25">
      <c r="B8" s="21">
        <v>7</v>
      </c>
      <c r="C8" s="13">
        <v>0</v>
      </c>
      <c r="D8" s="13"/>
      <c r="E8" s="22"/>
      <c r="I8" s="13"/>
      <c r="K8" s="258"/>
      <c r="L8" s="5">
        <v>10</v>
      </c>
      <c r="M8" s="5">
        <v>10</v>
      </c>
      <c r="N8" s="5">
        <v>10</v>
      </c>
      <c r="O8" s="5">
        <v>10</v>
      </c>
      <c r="P8" s="5">
        <v>10</v>
      </c>
      <c r="Q8" s="5">
        <v>10</v>
      </c>
      <c r="R8" s="6">
        <v>10</v>
      </c>
      <c r="AC8" s="115"/>
      <c r="AD8" s="115"/>
      <c r="AE8" s="115"/>
      <c r="AF8" s="115"/>
      <c r="AG8" s="115"/>
      <c r="AH8" s="115"/>
    </row>
    <row r="9" spans="2:34" x14ac:dyDescent="0.25">
      <c r="B9" s="21">
        <v>7</v>
      </c>
      <c r="C9" s="13">
        <v>0</v>
      </c>
      <c r="D9" s="13"/>
      <c r="E9" s="22"/>
      <c r="I9" s="13"/>
      <c r="K9" s="258"/>
      <c r="L9" s="5">
        <v>10</v>
      </c>
      <c r="M9" s="5">
        <v>10</v>
      </c>
      <c r="N9" s="5">
        <v>10</v>
      </c>
      <c r="O9" s="5">
        <v>10</v>
      </c>
      <c r="P9" s="5">
        <v>10</v>
      </c>
      <c r="Q9" s="5">
        <v>10</v>
      </c>
      <c r="R9" s="6">
        <v>10</v>
      </c>
      <c r="AC9" s="96"/>
      <c r="AD9" s="110"/>
      <c r="AE9" s="110"/>
      <c r="AF9" s="110"/>
      <c r="AG9" s="96"/>
      <c r="AH9" s="96"/>
    </row>
    <row r="10" spans="2:34" x14ac:dyDescent="0.25">
      <c r="B10" s="21">
        <v>7</v>
      </c>
      <c r="C10" s="13">
        <v>0</v>
      </c>
      <c r="D10" s="13"/>
      <c r="E10" s="22"/>
      <c r="I10" s="13"/>
      <c r="K10" s="258"/>
      <c r="L10" s="5">
        <v>10</v>
      </c>
      <c r="M10" s="5">
        <v>10</v>
      </c>
      <c r="N10" s="5">
        <v>10</v>
      </c>
      <c r="O10" s="5">
        <v>10</v>
      </c>
      <c r="P10" s="5">
        <v>10</v>
      </c>
      <c r="Q10" s="5">
        <v>10</v>
      </c>
      <c r="R10" s="6">
        <v>10</v>
      </c>
      <c r="AC10" s="98"/>
      <c r="AD10" s="99"/>
      <c r="AE10" s="99"/>
      <c r="AF10" s="99"/>
      <c r="AG10" s="96"/>
      <c r="AH10" s="96"/>
    </row>
    <row r="11" spans="2:34" x14ac:dyDescent="0.25">
      <c r="B11" s="21">
        <v>7</v>
      </c>
      <c r="C11" s="13">
        <v>0</v>
      </c>
      <c r="D11" s="13"/>
      <c r="E11" s="22"/>
      <c r="I11" s="13"/>
      <c r="K11" s="258"/>
      <c r="L11" s="5">
        <v>10</v>
      </c>
      <c r="M11" s="5">
        <v>10</v>
      </c>
      <c r="N11" s="5">
        <v>10</v>
      </c>
      <c r="O11" s="5">
        <v>10</v>
      </c>
      <c r="P11" s="5">
        <v>10</v>
      </c>
      <c r="Q11" s="5">
        <v>10</v>
      </c>
      <c r="R11" s="6">
        <v>10</v>
      </c>
      <c r="AC11" s="98"/>
      <c r="AD11" s="99"/>
      <c r="AE11" s="99"/>
      <c r="AF11" s="99"/>
      <c r="AG11" s="96"/>
      <c r="AH11" s="96"/>
    </row>
    <row r="12" spans="2:34" x14ac:dyDescent="0.25">
      <c r="B12" s="21">
        <v>7</v>
      </c>
      <c r="C12" s="13">
        <v>0</v>
      </c>
      <c r="D12" s="13"/>
      <c r="E12" s="22"/>
      <c r="I12" s="13"/>
      <c r="K12" s="258"/>
      <c r="L12" s="5">
        <v>10</v>
      </c>
      <c r="M12" s="5">
        <v>10</v>
      </c>
      <c r="N12" s="5">
        <v>10</v>
      </c>
      <c r="O12" s="5">
        <v>10</v>
      </c>
      <c r="P12" s="5">
        <v>10</v>
      </c>
      <c r="Q12" s="5">
        <v>10</v>
      </c>
      <c r="R12" s="6">
        <v>10</v>
      </c>
      <c r="AC12" s="98"/>
      <c r="AD12" s="99"/>
      <c r="AE12" s="99"/>
      <c r="AF12" s="99"/>
      <c r="AG12" s="96"/>
      <c r="AH12" s="96"/>
    </row>
    <row r="13" spans="2:34" x14ac:dyDescent="0.25">
      <c r="B13" s="21">
        <v>7</v>
      </c>
      <c r="C13" s="13">
        <v>0</v>
      </c>
      <c r="D13" s="13"/>
      <c r="E13" s="22"/>
      <c r="K13" s="258"/>
      <c r="L13" s="5">
        <v>10</v>
      </c>
      <c r="M13" s="5">
        <v>10</v>
      </c>
      <c r="N13" s="5">
        <v>10</v>
      </c>
      <c r="O13" s="5">
        <v>10</v>
      </c>
      <c r="P13" s="5">
        <v>10</v>
      </c>
      <c r="Q13" s="5">
        <v>10</v>
      </c>
      <c r="R13" s="6">
        <v>10</v>
      </c>
      <c r="AC13" s="98"/>
      <c r="AD13" s="99"/>
      <c r="AE13" s="99"/>
      <c r="AF13" s="99"/>
      <c r="AG13" s="96"/>
      <c r="AH13" s="96"/>
    </row>
    <row r="14" spans="2:34" x14ac:dyDescent="0.25">
      <c r="B14" s="21">
        <v>7</v>
      </c>
      <c r="C14" s="13">
        <v>0</v>
      </c>
      <c r="D14" s="13"/>
      <c r="E14" s="22"/>
      <c r="K14" s="258"/>
      <c r="L14" s="5">
        <v>9</v>
      </c>
      <c r="M14" s="5">
        <v>7</v>
      </c>
      <c r="N14" s="5">
        <v>0</v>
      </c>
      <c r="O14" s="5">
        <v>0</v>
      </c>
      <c r="P14" s="5">
        <v>0</v>
      </c>
      <c r="Q14" s="5">
        <v>0</v>
      </c>
      <c r="R14" s="6">
        <v>0</v>
      </c>
      <c r="AC14" s="98"/>
      <c r="AD14" s="99"/>
      <c r="AE14" s="99"/>
      <c r="AF14" s="99"/>
      <c r="AG14" s="96"/>
      <c r="AH14" s="96"/>
    </row>
    <row r="15" spans="2:34" x14ac:dyDescent="0.25">
      <c r="B15" s="21">
        <v>7</v>
      </c>
      <c r="C15" s="13">
        <v>0</v>
      </c>
      <c r="D15" s="13"/>
      <c r="E15" s="22"/>
      <c r="K15" s="258"/>
      <c r="L15" s="5">
        <v>10</v>
      </c>
      <c r="M15" s="5">
        <v>10</v>
      </c>
      <c r="N15" s="5">
        <v>6</v>
      </c>
      <c r="O15" s="5">
        <v>0</v>
      </c>
      <c r="P15" s="5">
        <v>0</v>
      </c>
      <c r="Q15" s="5">
        <v>0</v>
      </c>
      <c r="R15" s="6">
        <v>0</v>
      </c>
      <c r="AC15" s="98"/>
      <c r="AD15" s="99"/>
      <c r="AE15" s="99"/>
      <c r="AF15" s="99"/>
      <c r="AG15" s="96"/>
      <c r="AH15" s="96"/>
    </row>
    <row r="16" spans="2:34" x14ac:dyDescent="0.25">
      <c r="B16" s="21">
        <v>7</v>
      </c>
      <c r="C16" s="13">
        <v>0</v>
      </c>
      <c r="D16" s="13"/>
      <c r="E16" s="22"/>
      <c r="K16" s="258"/>
      <c r="L16" s="5">
        <v>10</v>
      </c>
      <c r="M16" s="5">
        <v>10</v>
      </c>
      <c r="N16" s="5">
        <v>10</v>
      </c>
      <c r="O16" s="5">
        <v>10</v>
      </c>
      <c r="P16" s="5">
        <v>10</v>
      </c>
      <c r="Q16" s="5">
        <v>10</v>
      </c>
      <c r="R16" s="6">
        <v>10</v>
      </c>
      <c r="AC16" s="98"/>
      <c r="AD16" s="99"/>
      <c r="AE16" s="99"/>
      <c r="AF16" s="99"/>
      <c r="AG16" s="96"/>
      <c r="AH16" s="96"/>
    </row>
    <row r="17" spans="2:34" x14ac:dyDescent="0.25">
      <c r="B17" s="21">
        <v>7</v>
      </c>
      <c r="C17" s="13">
        <v>0</v>
      </c>
      <c r="D17" s="13"/>
      <c r="E17" s="22"/>
      <c r="K17" s="258"/>
      <c r="L17" s="5">
        <v>10</v>
      </c>
      <c r="M17" s="5">
        <v>10</v>
      </c>
      <c r="N17" s="5">
        <v>10</v>
      </c>
      <c r="O17" s="5">
        <v>10</v>
      </c>
      <c r="P17" s="5">
        <v>10</v>
      </c>
      <c r="Q17" s="5">
        <v>10</v>
      </c>
      <c r="R17" s="6">
        <v>10</v>
      </c>
      <c r="AC17" s="98"/>
      <c r="AD17" s="99"/>
      <c r="AE17" s="99"/>
      <c r="AF17" s="99"/>
      <c r="AG17" s="96"/>
      <c r="AH17" s="96"/>
    </row>
    <row r="18" spans="2:34" x14ac:dyDescent="0.25">
      <c r="B18" s="21">
        <v>7</v>
      </c>
      <c r="C18" s="13">
        <v>0</v>
      </c>
      <c r="D18" s="13"/>
      <c r="E18" s="22"/>
      <c r="K18" s="258"/>
      <c r="L18" s="5">
        <v>10</v>
      </c>
      <c r="M18" s="5">
        <v>10</v>
      </c>
      <c r="N18" s="5">
        <v>10</v>
      </c>
      <c r="O18" s="5">
        <v>10</v>
      </c>
      <c r="P18" s="5">
        <v>10</v>
      </c>
      <c r="Q18" s="5">
        <v>10</v>
      </c>
      <c r="R18" s="6">
        <v>10</v>
      </c>
      <c r="AC18" s="98"/>
      <c r="AD18" s="99"/>
      <c r="AE18" s="99"/>
      <c r="AF18" s="99"/>
      <c r="AG18" s="96"/>
      <c r="AH18" s="96"/>
    </row>
    <row r="19" spans="2:34" x14ac:dyDescent="0.25">
      <c r="B19" s="21">
        <v>7</v>
      </c>
      <c r="C19" s="13">
        <v>0</v>
      </c>
      <c r="D19" s="13"/>
      <c r="E19" s="22"/>
      <c r="K19" s="258"/>
      <c r="L19" s="5">
        <v>10</v>
      </c>
      <c r="M19" s="5">
        <v>10</v>
      </c>
      <c r="N19" s="5">
        <v>10</v>
      </c>
      <c r="O19" s="5">
        <v>10</v>
      </c>
      <c r="P19" s="5">
        <v>10</v>
      </c>
      <c r="Q19" s="5">
        <v>10</v>
      </c>
      <c r="R19" s="6">
        <v>10</v>
      </c>
      <c r="AC19" s="98"/>
      <c r="AD19" s="99"/>
      <c r="AE19" s="99"/>
      <c r="AF19" s="99"/>
      <c r="AG19" s="96"/>
      <c r="AH19" s="96"/>
    </row>
    <row r="20" spans="2:34" x14ac:dyDescent="0.25">
      <c r="B20" s="21">
        <v>7</v>
      </c>
      <c r="C20" s="13">
        <v>0</v>
      </c>
      <c r="D20" s="13"/>
      <c r="E20" s="22"/>
      <c r="K20" s="258"/>
      <c r="L20" s="5">
        <v>10</v>
      </c>
      <c r="M20" s="5">
        <v>10</v>
      </c>
      <c r="N20" s="5">
        <v>10</v>
      </c>
      <c r="O20" s="5">
        <v>10</v>
      </c>
      <c r="P20" s="5">
        <v>10</v>
      </c>
      <c r="Q20" s="5">
        <v>10</v>
      </c>
      <c r="R20" s="6">
        <v>10</v>
      </c>
      <c r="AC20" s="98"/>
      <c r="AD20" s="99"/>
      <c r="AE20" s="99"/>
      <c r="AF20" s="99"/>
      <c r="AG20" s="96"/>
      <c r="AH20" s="96"/>
    </row>
    <row r="21" spans="2:34" x14ac:dyDescent="0.25">
      <c r="B21" s="21">
        <v>7</v>
      </c>
      <c r="C21" s="13">
        <v>0</v>
      </c>
      <c r="D21" s="13"/>
      <c r="E21" s="22"/>
      <c r="K21" s="258"/>
      <c r="L21" s="5">
        <v>10</v>
      </c>
      <c r="M21" s="5">
        <v>10</v>
      </c>
      <c r="N21" s="5">
        <v>10</v>
      </c>
      <c r="O21" s="5">
        <v>10</v>
      </c>
      <c r="P21" s="5">
        <v>10</v>
      </c>
      <c r="Q21" s="5">
        <v>10</v>
      </c>
      <c r="R21" s="6">
        <v>10</v>
      </c>
      <c r="AC21" s="98"/>
      <c r="AD21" s="99"/>
      <c r="AE21" s="99"/>
      <c r="AF21" s="99"/>
      <c r="AG21" s="96"/>
      <c r="AH21" s="96"/>
    </row>
    <row r="22" spans="2:34" x14ac:dyDescent="0.25">
      <c r="B22" s="21">
        <v>7</v>
      </c>
      <c r="C22" s="13">
        <v>0</v>
      </c>
      <c r="D22" s="13"/>
      <c r="E22" s="22"/>
      <c r="K22" s="258"/>
      <c r="L22" s="5">
        <v>10</v>
      </c>
      <c r="M22" s="5">
        <v>10</v>
      </c>
      <c r="N22" s="5">
        <v>10</v>
      </c>
      <c r="O22" s="5">
        <v>10</v>
      </c>
      <c r="P22" s="5">
        <v>10</v>
      </c>
      <c r="Q22" s="5">
        <v>10</v>
      </c>
      <c r="R22" s="6">
        <v>10</v>
      </c>
      <c r="AC22" s="98"/>
      <c r="AD22" s="99"/>
      <c r="AE22" s="99"/>
      <c r="AF22" s="99"/>
      <c r="AG22" s="96"/>
      <c r="AH22" s="96"/>
    </row>
    <row r="23" spans="2:34" x14ac:dyDescent="0.25">
      <c r="B23" s="21">
        <v>7</v>
      </c>
      <c r="C23" s="13">
        <v>0</v>
      </c>
      <c r="D23" s="13"/>
      <c r="E23" s="22"/>
      <c r="K23" s="259"/>
      <c r="L23" s="5">
        <v>10</v>
      </c>
      <c r="M23" s="5">
        <v>10</v>
      </c>
      <c r="N23" s="5">
        <v>10</v>
      </c>
      <c r="O23" s="5">
        <v>10</v>
      </c>
      <c r="P23" s="5">
        <v>10</v>
      </c>
      <c r="Q23" s="5">
        <v>10</v>
      </c>
      <c r="R23" s="6">
        <v>10</v>
      </c>
      <c r="AC23" s="98"/>
      <c r="AD23" s="99"/>
      <c r="AE23" s="99"/>
      <c r="AF23" s="99"/>
      <c r="AG23" s="96"/>
      <c r="AH23" s="96"/>
    </row>
    <row r="24" spans="2:34" x14ac:dyDescent="0.25">
      <c r="B24" s="21">
        <v>4</v>
      </c>
      <c r="C24" s="13"/>
      <c r="D24" s="13">
        <v>1</v>
      </c>
      <c r="E24" s="22"/>
      <c r="K24" s="248" t="s">
        <v>30</v>
      </c>
      <c r="L24" s="11">
        <v>6</v>
      </c>
      <c r="M24" s="11">
        <v>6</v>
      </c>
      <c r="N24" s="11">
        <v>4</v>
      </c>
      <c r="O24" s="11">
        <v>0</v>
      </c>
      <c r="P24" s="11">
        <v>0</v>
      </c>
      <c r="Q24" s="11">
        <v>0</v>
      </c>
      <c r="R24" s="12">
        <v>0</v>
      </c>
      <c r="AC24" s="98"/>
      <c r="AD24" s="99"/>
      <c r="AE24" s="99"/>
      <c r="AF24" s="99"/>
      <c r="AG24" s="96"/>
      <c r="AH24" s="96"/>
    </row>
    <row r="25" spans="2:34" x14ac:dyDescent="0.25">
      <c r="B25" s="21">
        <v>4</v>
      </c>
      <c r="C25" s="13"/>
      <c r="D25" s="13">
        <v>1</v>
      </c>
      <c r="E25" s="22"/>
      <c r="K25" s="249"/>
      <c r="L25" s="5">
        <v>6</v>
      </c>
      <c r="M25" s="5">
        <v>6</v>
      </c>
      <c r="N25" s="5">
        <v>6</v>
      </c>
      <c r="O25" s="5">
        <v>4</v>
      </c>
      <c r="P25" s="5">
        <v>0</v>
      </c>
      <c r="Q25" s="5">
        <v>0</v>
      </c>
      <c r="R25" s="6">
        <v>0</v>
      </c>
      <c r="AC25" s="98"/>
      <c r="AD25" s="99"/>
      <c r="AE25" s="99"/>
      <c r="AF25" s="99"/>
      <c r="AG25" s="96"/>
      <c r="AH25" s="96"/>
    </row>
    <row r="26" spans="2:34" x14ac:dyDescent="0.25">
      <c r="B26" s="21">
        <v>5</v>
      </c>
      <c r="C26" s="13"/>
      <c r="D26" s="13">
        <v>1</v>
      </c>
      <c r="E26" s="22"/>
      <c r="K26" s="249"/>
      <c r="L26" s="5">
        <v>7</v>
      </c>
      <c r="M26" s="5">
        <v>6</v>
      </c>
      <c r="N26" s="5">
        <v>6</v>
      </c>
      <c r="O26" s="5">
        <v>5</v>
      </c>
      <c r="P26" s="5">
        <v>0</v>
      </c>
      <c r="Q26" s="5">
        <v>0</v>
      </c>
      <c r="R26" s="6">
        <v>0</v>
      </c>
      <c r="AC26" s="98"/>
      <c r="AD26" s="99"/>
      <c r="AE26" s="99"/>
      <c r="AF26" s="99"/>
      <c r="AG26" s="96"/>
      <c r="AH26" s="96"/>
    </row>
    <row r="27" spans="2:34" x14ac:dyDescent="0.25">
      <c r="B27" s="21">
        <v>5</v>
      </c>
      <c r="C27" s="13"/>
      <c r="D27" s="13">
        <v>1</v>
      </c>
      <c r="E27" s="22"/>
      <c r="K27" s="249"/>
      <c r="L27" s="5">
        <v>7</v>
      </c>
      <c r="M27" s="5">
        <v>6</v>
      </c>
      <c r="N27" s="5">
        <v>6</v>
      </c>
      <c r="O27" s="5">
        <v>6</v>
      </c>
      <c r="P27" s="5">
        <v>0</v>
      </c>
      <c r="Q27" s="5">
        <v>0</v>
      </c>
      <c r="R27" s="6">
        <v>0</v>
      </c>
      <c r="AC27" s="98"/>
      <c r="AD27" s="99"/>
      <c r="AE27" s="99"/>
      <c r="AF27" s="99"/>
      <c r="AG27" s="96"/>
      <c r="AH27" s="96"/>
    </row>
    <row r="28" spans="2:34" x14ac:dyDescent="0.25">
      <c r="B28" s="21">
        <v>5</v>
      </c>
      <c r="C28" s="13"/>
      <c r="D28" s="13">
        <v>1</v>
      </c>
      <c r="E28" s="22"/>
      <c r="K28" s="249"/>
      <c r="L28" s="5">
        <v>7</v>
      </c>
      <c r="M28" s="5">
        <v>6</v>
      </c>
      <c r="N28" s="5">
        <v>6</v>
      </c>
      <c r="O28" s="5">
        <v>6</v>
      </c>
      <c r="P28" s="5">
        <v>6</v>
      </c>
      <c r="Q28" s="5">
        <v>0</v>
      </c>
      <c r="R28" s="6">
        <v>0</v>
      </c>
      <c r="AC28" s="98"/>
      <c r="AD28" s="99"/>
      <c r="AE28" s="99"/>
      <c r="AF28" s="99"/>
      <c r="AG28" s="96"/>
      <c r="AH28" s="96"/>
    </row>
    <row r="29" spans="2:34" x14ac:dyDescent="0.25">
      <c r="B29" s="21">
        <v>5</v>
      </c>
      <c r="C29" s="13"/>
      <c r="D29" s="13">
        <v>1</v>
      </c>
      <c r="E29" s="22"/>
      <c r="K29" s="249"/>
      <c r="L29" s="5">
        <v>7</v>
      </c>
      <c r="M29" s="5">
        <v>6</v>
      </c>
      <c r="N29" s="5">
        <v>6</v>
      </c>
      <c r="O29" s="5">
        <v>6</v>
      </c>
      <c r="P29" s="5">
        <v>6</v>
      </c>
      <c r="Q29" s="5">
        <v>0</v>
      </c>
      <c r="R29" s="6">
        <v>0</v>
      </c>
      <c r="AC29" s="98"/>
      <c r="AD29" s="99"/>
      <c r="AE29" s="99"/>
      <c r="AF29" s="99"/>
      <c r="AG29" s="96"/>
      <c r="AH29" s="96"/>
    </row>
    <row r="30" spans="2:34" x14ac:dyDescent="0.25">
      <c r="B30" s="21">
        <v>5</v>
      </c>
      <c r="C30" s="13"/>
      <c r="D30" s="13">
        <v>1</v>
      </c>
      <c r="E30" s="22"/>
      <c r="K30" s="249"/>
      <c r="L30" s="5">
        <v>7</v>
      </c>
      <c r="M30" s="5">
        <v>6</v>
      </c>
      <c r="N30" s="5">
        <v>6</v>
      </c>
      <c r="O30" s="5">
        <v>6</v>
      </c>
      <c r="P30" s="5">
        <v>6</v>
      </c>
      <c r="Q30" s="5">
        <v>6</v>
      </c>
      <c r="R30" s="6">
        <v>6</v>
      </c>
      <c r="AC30" s="98"/>
      <c r="AD30" s="99"/>
      <c r="AE30" s="99"/>
      <c r="AF30" s="99"/>
      <c r="AG30" s="96"/>
      <c r="AH30" s="96"/>
    </row>
    <row r="31" spans="2:34" x14ac:dyDescent="0.25">
      <c r="B31" s="21">
        <v>5</v>
      </c>
      <c r="C31" s="13"/>
      <c r="D31" s="13">
        <v>1</v>
      </c>
      <c r="E31" s="22"/>
      <c r="K31" s="249"/>
      <c r="L31" s="5">
        <v>7</v>
      </c>
      <c r="M31" s="5">
        <v>7</v>
      </c>
      <c r="N31" s="5">
        <v>7</v>
      </c>
      <c r="O31" s="5">
        <v>7</v>
      </c>
      <c r="P31" s="5">
        <v>6</v>
      </c>
      <c r="Q31" s="5">
        <v>6</v>
      </c>
      <c r="R31" s="6">
        <v>6</v>
      </c>
      <c r="AC31" s="98"/>
      <c r="AD31" s="99"/>
      <c r="AE31" s="99"/>
      <c r="AF31" s="99"/>
      <c r="AG31" s="96"/>
      <c r="AH31" s="96"/>
    </row>
    <row r="32" spans="2:34" x14ac:dyDescent="0.25">
      <c r="B32" s="21">
        <v>6</v>
      </c>
      <c r="C32" s="13"/>
      <c r="D32" s="13">
        <v>1</v>
      </c>
      <c r="E32" s="22"/>
      <c r="K32" s="249"/>
      <c r="L32" s="5">
        <v>7</v>
      </c>
      <c r="M32" s="5">
        <v>8</v>
      </c>
      <c r="N32" s="5">
        <v>7</v>
      </c>
      <c r="O32" s="5">
        <v>7</v>
      </c>
      <c r="P32" s="5">
        <v>6</v>
      </c>
      <c r="Q32" s="5">
        <v>6</v>
      </c>
      <c r="R32" s="6">
        <v>6</v>
      </c>
      <c r="AC32" s="116"/>
      <c r="AD32" s="116"/>
      <c r="AE32" s="116"/>
      <c r="AF32" s="116"/>
      <c r="AG32" s="116"/>
      <c r="AH32" s="116"/>
    </row>
    <row r="33" spans="2:34" x14ac:dyDescent="0.25">
      <c r="B33" s="21">
        <v>6</v>
      </c>
      <c r="C33" s="13"/>
      <c r="D33" s="13">
        <v>1</v>
      </c>
      <c r="E33" s="22"/>
      <c r="K33" s="249"/>
      <c r="L33" s="5">
        <v>7</v>
      </c>
      <c r="M33" s="5">
        <v>7</v>
      </c>
      <c r="N33" s="5">
        <v>7</v>
      </c>
      <c r="O33" s="5">
        <v>7</v>
      </c>
      <c r="P33" s="5">
        <v>6</v>
      </c>
      <c r="Q33" s="5">
        <v>6</v>
      </c>
      <c r="R33" s="6">
        <v>6</v>
      </c>
      <c r="AC33" s="98"/>
      <c r="AD33" s="99"/>
      <c r="AE33" s="96"/>
      <c r="AF33" s="99"/>
      <c r="AG33" s="99"/>
      <c r="AH33" s="99"/>
    </row>
    <row r="34" spans="2:34" x14ac:dyDescent="0.25">
      <c r="B34" s="21">
        <v>6</v>
      </c>
      <c r="C34" s="13"/>
      <c r="D34" s="13">
        <v>1</v>
      </c>
      <c r="E34" s="22"/>
      <c r="K34" s="249"/>
      <c r="L34" s="5">
        <v>6.5</v>
      </c>
      <c r="M34" s="5">
        <v>7</v>
      </c>
      <c r="N34" s="5">
        <v>8</v>
      </c>
      <c r="O34" s="5">
        <v>3</v>
      </c>
      <c r="P34" s="5">
        <v>0</v>
      </c>
      <c r="Q34" s="5">
        <v>0</v>
      </c>
      <c r="R34" s="6">
        <v>0</v>
      </c>
      <c r="AC34" s="98"/>
      <c r="AD34" s="99"/>
      <c r="AE34" s="96"/>
      <c r="AF34" s="99"/>
      <c r="AG34" s="99"/>
      <c r="AH34" s="99"/>
    </row>
    <row r="35" spans="2:34" x14ac:dyDescent="0.25">
      <c r="B35" s="21">
        <v>6</v>
      </c>
      <c r="C35" s="13"/>
      <c r="D35" s="13">
        <v>1</v>
      </c>
      <c r="E35" s="22"/>
      <c r="K35" s="249"/>
      <c r="L35" s="5">
        <v>6.5</v>
      </c>
      <c r="M35" s="5">
        <v>7</v>
      </c>
      <c r="N35" s="5">
        <v>6</v>
      </c>
      <c r="O35" s="5">
        <v>3</v>
      </c>
      <c r="P35" s="5">
        <v>0</v>
      </c>
      <c r="Q35" s="5">
        <v>0</v>
      </c>
      <c r="R35" s="6">
        <v>0</v>
      </c>
      <c r="AC35" s="98"/>
      <c r="AD35" s="99"/>
      <c r="AE35" s="96"/>
      <c r="AF35" s="99"/>
      <c r="AG35" s="99"/>
      <c r="AH35" s="99"/>
    </row>
    <row r="36" spans="2:34" x14ac:dyDescent="0.25">
      <c r="B36" s="21">
        <v>7</v>
      </c>
      <c r="C36" s="13"/>
      <c r="D36" s="13">
        <v>0</v>
      </c>
      <c r="E36" s="22"/>
      <c r="K36" s="249"/>
      <c r="L36" s="5">
        <v>6.5</v>
      </c>
      <c r="M36" s="5">
        <v>5</v>
      </c>
      <c r="N36" s="5">
        <v>3</v>
      </c>
      <c r="O36" s="5">
        <v>5</v>
      </c>
      <c r="P36" s="5">
        <v>0</v>
      </c>
      <c r="Q36" s="5">
        <v>0</v>
      </c>
      <c r="R36" s="6">
        <v>0</v>
      </c>
      <c r="AC36" s="98"/>
      <c r="AD36" s="99"/>
      <c r="AE36" s="96"/>
      <c r="AF36" s="99"/>
      <c r="AG36" s="99"/>
      <c r="AH36" s="99"/>
    </row>
    <row r="37" spans="2:34" x14ac:dyDescent="0.25">
      <c r="B37" s="21">
        <v>7</v>
      </c>
      <c r="C37" s="13"/>
      <c r="D37" s="13">
        <v>0</v>
      </c>
      <c r="E37" s="22"/>
      <c r="K37" s="249"/>
      <c r="L37" s="5">
        <v>6</v>
      </c>
      <c r="M37" s="5">
        <v>6</v>
      </c>
      <c r="N37" s="5">
        <v>5</v>
      </c>
      <c r="O37" s="5">
        <v>6</v>
      </c>
      <c r="P37" s="5">
        <v>6</v>
      </c>
      <c r="Q37" s="5">
        <v>0</v>
      </c>
      <c r="R37" s="6">
        <v>0</v>
      </c>
      <c r="AC37" s="98"/>
      <c r="AD37" s="99"/>
      <c r="AE37" s="96"/>
      <c r="AF37" s="99"/>
      <c r="AG37" s="99"/>
      <c r="AH37" s="99"/>
    </row>
    <row r="38" spans="2:34" x14ac:dyDescent="0.25">
      <c r="B38" s="21">
        <v>7</v>
      </c>
      <c r="C38" s="13"/>
      <c r="D38" s="13">
        <v>0</v>
      </c>
      <c r="E38" s="22"/>
      <c r="K38" s="249"/>
      <c r="L38" s="5">
        <v>6</v>
      </c>
      <c r="M38" s="5">
        <v>5</v>
      </c>
      <c r="N38" s="5">
        <v>3</v>
      </c>
      <c r="O38" s="5">
        <v>4</v>
      </c>
      <c r="P38" s="5">
        <v>5</v>
      </c>
      <c r="Q38" s="5">
        <v>0</v>
      </c>
      <c r="R38" s="6">
        <v>0</v>
      </c>
      <c r="AC38" s="98"/>
      <c r="AD38" s="99"/>
      <c r="AE38" s="96"/>
      <c r="AF38" s="99"/>
      <c r="AG38" s="99"/>
      <c r="AH38" s="99"/>
    </row>
    <row r="39" spans="2:34" x14ac:dyDescent="0.25">
      <c r="B39" s="21">
        <v>7</v>
      </c>
      <c r="C39" s="13"/>
      <c r="D39" s="13">
        <v>0</v>
      </c>
      <c r="E39" s="22"/>
      <c r="K39" s="249"/>
      <c r="L39" s="5">
        <v>6</v>
      </c>
      <c r="M39" s="5">
        <v>6</v>
      </c>
      <c r="N39" s="5">
        <v>3</v>
      </c>
      <c r="O39" s="5">
        <v>4</v>
      </c>
      <c r="P39" s="5">
        <v>7</v>
      </c>
      <c r="Q39" s="5">
        <v>6</v>
      </c>
      <c r="R39" s="6">
        <v>6</v>
      </c>
      <c r="AC39" s="98"/>
      <c r="AD39" s="99"/>
      <c r="AE39" s="96"/>
      <c r="AF39" s="99"/>
      <c r="AG39" s="99"/>
      <c r="AH39" s="99"/>
    </row>
    <row r="40" spans="2:34" x14ac:dyDescent="0.25">
      <c r="B40" s="21">
        <v>7</v>
      </c>
      <c r="C40" s="13"/>
      <c r="D40" s="13">
        <v>0</v>
      </c>
      <c r="E40" s="22"/>
      <c r="K40" s="249"/>
      <c r="L40" s="5">
        <v>6</v>
      </c>
      <c r="M40" s="5">
        <v>5</v>
      </c>
      <c r="N40" s="5">
        <v>6</v>
      </c>
      <c r="O40" s="5">
        <v>0</v>
      </c>
      <c r="P40" s="5">
        <v>0</v>
      </c>
      <c r="Q40" s="5">
        <v>0</v>
      </c>
      <c r="R40" s="6">
        <v>0</v>
      </c>
      <c r="AC40" s="98"/>
      <c r="AD40" s="99"/>
      <c r="AE40" s="96"/>
      <c r="AF40" s="99"/>
      <c r="AG40" s="99"/>
      <c r="AH40" s="99"/>
    </row>
    <row r="41" spans="2:34" x14ac:dyDescent="0.25">
      <c r="B41" s="21">
        <v>7</v>
      </c>
      <c r="C41" s="13"/>
      <c r="D41" s="13">
        <v>0</v>
      </c>
      <c r="E41" s="22"/>
      <c r="K41" s="249"/>
      <c r="L41" s="5">
        <v>6</v>
      </c>
      <c r="M41" s="5">
        <v>6</v>
      </c>
      <c r="N41" s="5">
        <v>5</v>
      </c>
      <c r="O41" s="5">
        <v>3</v>
      </c>
      <c r="P41" s="5">
        <v>7</v>
      </c>
      <c r="Q41" s="5">
        <v>6</v>
      </c>
      <c r="R41" s="6">
        <v>6</v>
      </c>
      <c r="AC41" s="98"/>
      <c r="AD41" s="99"/>
      <c r="AE41" s="96"/>
      <c r="AF41" s="99"/>
      <c r="AG41" s="99"/>
      <c r="AH41" s="99"/>
    </row>
    <row r="42" spans="2:34" x14ac:dyDescent="0.25">
      <c r="B42" s="21">
        <v>7</v>
      </c>
      <c r="C42" s="13"/>
      <c r="D42" s="13">
        <v>0</v>
      </c>
      <c r="E42" s="22"/>
      <c r="K42" s="249"/>
      <c r="L42" s="5">
        <v>6</v>
      </c>
      <c r="M42" s="5">
        <v>6</v>
      </c>
      <c r="N42" s="5">
        <v>4</v>
      </c>
      <c r="O42" s="5">
        <v>5</v>
      </c>
      <c r="P42" s="5">
        <v>7</v>
      </c>
      <c r="Q42" s="5">
        <v>6</v>
      </c>
      <c r="R42" s="6">
        <v>6</v>
      </c>
      <c r="AC42" s="98"/>
      <c r="AD42" s="99"/>
      <c r="AE42" s="96"/>
      <c r="AF42" s="99"/>
      <c r="AG42" s="99"/>
      <c r="AH42" s="99"/>
    </row>
    <row r="43" spans="2:34" x14ac:dyDescent="0.25">
      <c r="B43" s="21">
        <v>7</v>
      </c>
      <c r="C43" s="13"/>
      <c r="D43" s="13">
        <v>0</v>
      </c>
      <c r="E43" s="22"/>
      <c r="K43" s="250"/>
      <c r="L43" s="18">
        <v>6</v>
      </c>
      <c r="M43" s="18">
        <v>6</v>
      </c>
      <c r="N43" s="18">
        <v>7.5</v>
      </c>
      <c r="O43" s="18">
        <v>6.5</v>
      </c>
      <c r="P43" s="18">
        <v>7</v>
      </c>
      <c r="Q43" s="18">
        <v>6</v>
      </c>
      <c r="R43" s="19">
        <v>6</v>
      </c>
      <c r="AC43" s="98"/>
      <c r="AD43" s="99"/>
      <c r="AE43" s="96"/>
      <c r="AF43" s="99"/>
      <c r="AG43" s="99"/>
      <c r="AH43" s="99"/>
    </row>
    <row r="44" spans="2:34" x14ac:dyDescent="0.25">
      <c r="B44" s="21">
        <v>1</v>
      </c>
      <c r="C44" s="13"/>
      <c r="D44" s="13"/>
      <c r="E44" s="22">
        <v>1</v>
      </c>
      <c r="K44" s="251" t="s">
        <v>35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2">
        <v>0</v>
      </c>
      <c r="AC44" s="98"/>
      <c r="AD44" s="99"/>
      <c r="AE44" s="96"/>
      <c r="AF44" s="99"/>
      <c r="AG44" s="99"/>
      <c r="AH44" s="99"/>
    </row>
    <row r="45" spans="2:34" x14ac:dyDescent="0.25">
      <c r="B45" s="21">
        <v>1</v>
      </c>
      <c r="C45" s="13"/>
      <c r="D45" s="13"/>
      <c r="E45" s="22">
        <v>1</v>
      </c>
      <c r="K45" s="252"/>
      <c r="L45" s="5">
        <v>4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6">
        <v>0</v>
      </c>
      <c r="AC45" s="98"/>
      <c r="AD45" s="99"/>
      <c r="AE45" s="96"/>
      <c r="AF45" s="99"/>
      <c r="AG45" s="99"/>
      <c r="AH45" s="99"/>
    </row>
    <row r="46" spans="2:34" x14ac:dyDescent="0.25">
      <c r="B46" s="21">
        <v>1</v>
      </c>
      <c r="C46" s="13"/>
      <c r="D46" s="13"/>
      <c r="E46" s="22">
        <v>1</v>
      </c>
      <c r="K46" s="252"/>
      <c r="L46" s="5">
        <v>4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6">
        <v>0</v>
      </c>
      <c r="AC46" s="116"/>
      <c r="AD46" s="116"/>
      <c r="AE46" s="116"/>
      <c r="AF46" s="116"/>
      <c r="AG46" s="116"/>
      <c r="AH46" s="116"/>
    </row>
    <row r="47" spans="2:34" x14ac:dyDescent="0.25">
      <c r="B47" s="21">
        <v>1</v>
      </c>
      <c r="C47" s="13"/>
      <c r="D47" s="13"/>
      <c r="E47" s="22">
        <v>1</v>
      </c>
      <c r="K47" s="252"/>
      <c r="L47" s="5">
        <v>5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6">
        <v>0</v>
      </c>
      <c r="AC47" s="98"/>
      <c r="AD47" s="99"/>
      <c r="AE47" s="99"/>
      <c r="AF47" s="99"/>
      <c r="AG47" s="99"/>
      <c r="AH47" s="99"/>
    </row>
    <row r="48" spans="2:34" x14ac:dyDescent="0.25">
      <c r="B48" s="21">
        <v>2</v>
      </c>
      <c r="C48" s="13"/>
      <c r="D48" s="13"/>
      <c r="E48" s="22">
        <v>1</v>
      </c>
      <c r="K48" s="252"/>
      <c r="L48" s="5">
        <v>5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6">
        <v>0</v>
      </c>
      <c r="AC48" s="98"/>
      <c r="AD48" s="99"/>
      <c r="AE48" s="99"/>
      <c r="AF48" s="99"/>
      <c r="AG48" s="99"/>
      <c r="AH48" s="99"/>
    </row>
    <row r="49" spans="2:34" x14ac:dyDescent="0.25">
      <c r="B49" s="21">
        <v>2</v>
      </c>
      <c r="C49" s="13"/>
      <c r="D49" s="13"/>
      <c r="E49" s="22">
        <v>1</v>
      </c>
      <c r="K49" s="252"/>
      <c r="L49" s="5">
        <v>5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6">
        <v>0</v>
      </c>
      <c r="AC49" s="98"/>
      <c r="AD49" s="99"/>
      <c r="AE49" s="99"/>
      <c r="AF49" s="99"/>
      <c r="AG49" s="99"/>
      <c r="AH49" s="99"/>
    </row>
    <row r="50" spans="2:34" x14ac:dyDescent="0.25">
      <c r="B50" s="21">
        <v>2</v>
      </c>
      <c r="C50" s="13"/>
      <c r="D50" s="13"/>
      <c r="E50" s="22">
        <v>1</v>
      </c>
      <c r="K50" s="252"/>
      <c r="L50" s="5">
        <v>6</v>
      </c>
      <c r="M50" s="5">
        <v>4</v>
      </c>
      <c r="N50" s="5">
        <v>0</v>
      </c>
      <c r="O50" s="5">
        <v>0</v>
      </c>
      <c r="P50" s="5">
        <v>0</v>
      </c>
      <c r="Q50" s="5">
        <v>0</v>
      </c>
      <c r="R50" s="6">
        <v>0</v>
      </c>
      <c r="AC50" s="98"/>
      <c r="AD50" s="99"/>
      <c r="AE50" s="99"/>
      <c r="AF50" s="99"/>
      <c r="AG50" s="99"/>
      <c r="AH50" s="99"/>
    </row>
    <row r="51" spans="2:34" x14ac:dyDescent="0.25">
      <c r="B51" s="21">
        <v>2</v>
      </c>
      <c r="C51" s="13"/>
      <c r="D51" s="13"/>
      <c r="E51" s="22">
        <v>1</v>
      </c>
      <c r="K51" s="252"/>
      <c r="L51" s="5">
        <v>6</v>
      </c>
      <c r="M51" s="5">
        <v>4</v>
      </c>
      <c r="N51" s="5">
        <v>0</v>
      </c>
      <c r="O51" s="5">
        <v>0</v>
      </c>
      <c r="P51" s="5">
        <v>0</v>
      </c>
      <c r="Q51" s="5">
        <v>0</v>
      </c>
      <c r="R51" s="6">
        <v>0</v>
      </c>
      <c r="AC51" s="98"/>
      <c r="AD51" s="99"/>
      <c r="AE51" s="99"/>
      <c r="AF51" s="99"/>
      <c r="AG51" s="99"/>
      <c r="AH51" s="99"/>
    </row>
    <row r="52" spans="2:34" x14ac:dyDescent="0.25">
      <c r="B52" s="21">
        <v>2</v>
      </c>
      <c r="C52" s="13"/>
      <c r="D52" s="13"/>
      <c r="E52" s="22">
        <v>1</v>
      </c>
      <c r="K52" s="252"/>
      <c r="L52" s="5">
        <v>6</v>
      </c>
      <c r="M52" s="5">
        <v>4</v>
      </c>
      <c r="N52" s="5">
        <v>0</v>
      </c>
      <c r="O52" s="5">
        <v>0</v>
      </c>
      <c r="P52" s="5">
        <v>0</v>
      </c>
      <c r="Q52" s="5">
        <v>0</v>
      </c>
      <c r="R52" s="6">
        <v>0</v>
      </c>
      <c r="AC52" s="98"/>
      <c r="AD52" s="99"/>
      <c r="AE52" s="99"/>
      <c r="AF52" s="99"/>
      <c r="AG52" s="99"/>
      <c r="AH52" s="99"/>
    </row>
    <row r="53" spans="2:34" x14ac:dyDescent="0.25">
      <c r="B53" s="21">
        <v>2</v>
      </c>
      <c r="C53" s="13"/>
      <c r="D53" s="13"/>
      <c r="E53" s="22">
        <v>1</v>
      </c>
      <c r="K53" s="252"/>
      <c r="L53" s="5">
        <v>6</v>
      </c>
      <c r="M53" s="5">
        <v>4</v>
      </c>
      <c r="N53" s="5">
        <v>0</v>
      </c>
      <c r="O53" s="5">
        <v>0</v>
      </c>
      <c r="P53" s="5">
        <v>0</v>
      </c>
      <c r="Q53" s="5">
        <v>0</v>
      </c>
      <c r="R53" s="6">
        <v>0</v>
      </c>
      <c r="AC53" s="98"/>
      <c r="AD53" s="99"/>
      <c r="AE53" s="99"/>
      <c r="AF53" s="99"/>
      <c r="AG53" s="99"/>
      <c r="AH53" s="99"/>
    </row>
    <row r="54" spans="2:34" x14ac:dyDescent="0.25">
      <c r="B54" s="21">
        <v>2</v>
      </c>
      <c r="C54" s="13"/>
      <c r="D54" s="13"/>
      <c r="E54" s="22">
        <v>1</v>
      </c>
      <c r="K54" s="252"/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6">
        <v>0</v>
      </c>
      <c r="AC54" s="98"/>
      <c r="AD54" s="99"/>
      <c r="AE54" s="99"/>
      <c r="AF54" s="99"/>
      <c r="AG54" s="99"/>
      <c r="AH54" s="99"/>
    </row>
    <row r="55" spans="2:34" x14ac:dyDescent="0.25">
      <c r="B55" s="21">
        <v>2</v>
      </c>
      <c r="C55" s="13"/>
      <c r="D55" s="13"/>
      <c r="E55" s="22">
        <v>1</v>
      </c>
      <c r="K55" s="252"/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6">
        <v>0</v>
      </c>
      <c r="AC55" s="98"/>
      <c r="AD55" s="99"/>
      <c r="AE55" s="99"/>
      <c r="AF55" s="99"/>
      <c r="AG55" s="99"/>
      <c r="AH55" s="99"/>
    </row>
    <row r="56" spans="2:34" x14ac:dyDescent="0.25">
      <c r="B56" s="21">
        <v>2</v>
      </c>
      <c r="C56" s="13"/>
      <c r="D56" s="13"/>
      <c r="E56" s="22">
        <v>1</v>
      </c>
      <c r="K56" s="252"/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6">
        <v>0</v>
      </c>
      <c r="AC56" s="98"/>
      <c r="AD56" s="99"/>
      <c r="AE56" s="99"/>
      <c r="AF56" s="99"/>
      <c r="AG56" s="99"/>
      <c r="AH56" s="99"/>
    </row>
    <row r="57" spans="2:34" x14ac:dyDescent="0.25">
      <c r="B57" s="21">
        <v>3</v>
      </c>
      <c r="C57" s="13"/>
      <c r="D57" s="13"/>
      <c r="E57" s="22">
        <v>1</v>
      </c>
      <c r="K57" s="252"/>
      <c r="L57" s="5">
        <v>4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6">
        <v>0</v>
      </c>
      <c r="AC57" s="98"/>
      <c r="AD57" s="99"/>
      <c r="AE57" s="99"/>
      <c r="AF57" s="99"/>
      <c r="AG57" s="99"/>
      <c r="AH57" s="99"/>
    </row>
    <row r="58" spans="2:34" x14ac:dyDescent="0.25">
      <c r="B58" s="21">
        <v>3</v>
      </c>
      <c r="C58" s="13"/>
      <c r="D58" s="13"/>
      <c r="E58" s="22">
        <v>1</v>
      </c>
      <c r="K58" s="252"/>
      <c r="L58" s="5">
        <v>4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6">
        <v>0</v>
      </c>
      <c r="AC58" s="98"/>
      <c r="AD58" s="99"/>
      <c r="AE58" s="99"/>
      <c r="AF58" s="99"/>
      <c r="AG58" s="99"/>
      <c r="AH58" s="99"/>
    </row>
    <row r="59" spans="2:34" x14ac:dyDescent="0.25">
      <c r="B59" s="21">
        <v>3</v>
      </c>
      <c r="C59" s="13"/>
      <c r="D59" s="13"/>
      <c r="E59" s="22">
        <v>1</v>
      </c>
      <c r="K59" s="252"/>
      <c r="L59" s="5">
        <v>4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6">
        <v>0</v>
      </c>
      <c r="AC59" s="98"/>
      <c r="AD59" s="99"/>
      <c r="AE59" s="99"/>
      <c r="AF59" s="99"/>
      <c r="AG59" s="99"/>
      <c r="AH59" s="99"/>
    </row>
    <row r="60" spans="2:34" x14ac:dyDescent="0.25">
      <c r="B60" s="21">
        <v>3</v>
      </c>
      <c r="C60" s="13"/>
      <c r="D60" s="13"/>
      <c r="E60" s="22">
        <v>1</v>
      </c>
      <c r="K60" s="252"/>
      <c r="L60" s="5">
        <v>4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6">
        <v>0</v>
      </c>
      <c r="AC60" s="98"/>
      <c r="AD60" s="99"/>
      <c r="AE60" s="99"/>
      <c r="AF60" s="99"/>
      <c r="AG60" s="99"/>
      <c r="AH60" s="99"/>
    </row>
    <row r="61" spans="2:34" x14ac:dyDescent="0.25">
      <c r="B61" s="21">
        <v>4</v>
      </c>
      <c r="C61" s="13"/>
      <c r="D61" s="13"/>
      <c r="E61" s="22">
        <v>1</v>
      </c>
      <c r="K61" s="252"/>
      <c r="L61" s="5">
        <v>4</v>
      </c>
      <c r="M61" s="5">
        <v>4</v>
      </c>
      <c r="N61" s="5">
        <v>3</v>
      </c>
      <c r="O61" s="5">
        <v>0</v>
      </c>
      <c r="P61" s="5">
        <v>0</v>
      </c>
      <c r="Q61" s="5">
        <v>0</v>
      </c>
      <c r="R61" s="6">
        <v>0</v>
      </c>
      <c r="AC61" s="98"/>
      <c r="AD61" s="99"/>
      <c r="AE61" s="99"/>
      <c r="AF61" s="99"/>
      <c r="AG61" s="99"/>
      <c r="AH61" s="99"/>
    </row>
    <row r="62" spans="2:34" x14ac:dyDescent="0.25">
      <c r="B62" s="21">
        <v>4</v>
      </c>
      <c r="C62" s="13"/>
      <c r="D62" s="13"/>
      <c r="E62" s="22">
        <v>1</v>
      </c>
      <c r="K62" s="252"/>
      <c r="L62" s="5">
        <v>4</v>
      </c>
      <c r="M62" s="5">
        <v>6</v>
      </c>
      <c r="N62" s="5">
        <v>3</v>
      </c>
      <c r="O62" s="5">
        <v>0</v>
      </c>
      <c r="P62" s="5">
        <v>0</v>
      </c>
      <c r="Q62" s="5">
        <v>0</v>
      </c>
      <c r="R62" s="6">
        <v>0</v>
      </c>
      <c r="AC62" s="98"/>
      <c r="AD62" s="99"/>
      <c r="AE62" s="99"/>
      <c r="AF62" s="99"/>
      <c r="AG62" s="99"/>
      <c r="AH62" s="99"/>
    </row>
    <row r="63" spans="2:34" x14ac:dyDescent="0.25">
      <c r="B63" s="27">
        <v>4</v>
      </c>
      <c r="C63" s="14"/>
      <c r="D63" s="14"/>
      <c r="E63" s="28">
        <v>1</v>
      </c>
      <c r="K63" s="253"/>
      <c r="L63" s="18">
        <v>4</v>
      </c>
      <c r="M63" s="18">
        <v>6</v>
      </c>
      <c r="N63" s="18">
        <v>4</v>
      </c>
      <c r="O63" s="18">
        <v>3</v>
      </c>
      <c r="P63" s="18">
        <v>0</v>
      </c>
      <c r="Q63" s="18">
        <v>0</v>
      </c>
      <c r="R63" s="19">
        <v>0</v>
      </c>
    </row>
    <row r="64" spans="2:34" x14ac:dyDescent="0.25">
      <c r="K64" s="113"/>
      <c r="L64" s="113"/>
      <c r="M64" s="95"/>
      <c r="N64" s="95"/>
      <c r="O64" s="95"/>
      <c r="P64" s="95"/>
      <c r="Q64" s="95"/>
    </row>
    <row r="65" spans="11:17" x14ac:dyDescent="0.25">
      <c r="K65" s="113"/>
      <c r="L65" s="113"/>
      <c r="M65" s="95"/>
      <c r="N65" s="95"/>
      <c r="O65" s="95"/>
      <c r="P65" s="95"/>
      <c r="Q65" s="95"/>
    </row>
    <row r="66" spans="11:17" x14ac:dyDescent="0.25">
      <c r="K66" s="113"/>
      <c r="L66" s="113"/>
      <c r="M66" s="95"/>
      <c r="N66" s="95"/>
      <c r="O66" s="95"/>
      <c r="P66" s="95"/>
      <c r="Q66" s="95"/>
    </row>
    <row r="67" spans="11:17" x14ac:dyDescent="0.25">
      <c r="K67" s="113"/>
      <c r="L67" s="113"/>
      <c r="M67" s="95"/>
      <c r="N67" s="95"/>
      <c r="O67" s="95"/>
      <c r="P67" s="95"/>
      <c r="Q67" s="95"/>
    </row>
    <row r="68" spans="11:17" x14ac:dyDescent="0.25">
      <c r="K68" s="113"/>
      <c r="L68" s="113"/>
      <c r="M68" s="95"/>
      <c r="N68" s="95"/>
      <c r="O68" s="95"/>
      <c r="P68" s="95"/>
      <c r="Q68" s="95"/>
    </row>
    <row r="69" spans="11:17" x14ac:dyDescent="0.25">
      <c r="K69" s="114"/>
      <c r="L69" s="114"/>
      <c r="M69" s="114"/>
      <c r="N69" s="114"/>
      <c r="O69" s="114"/>
      <c r="P69" s="114"/>
      <c r="Q69" s="114"/>
    </row>
    <row r="70" spans="11:17" x14ac:dyDescent="0.25">
      <c r="K70" s="95"/>
      <c r="L70" s="113"/>
      <c r="M70" s="113"/>
      <c r="N70" s="113"/>
      <c r="O70" s="95"/>
      <c r="P70" s="95"/>
      <c r="Q70" s="95"/>
    </row>
    <row r="71" spans="11:17" x14ac:dyDescent="0.25">
      <c r="K71" s="113"/>
      <c r="L71" s="113"/>
      <c r="M71" s="113"/>
      <c r="N71" s="113"/>
      <c r="O71" s="95"/>
      <c r="P71" s="95"/>
      <c r="Q71" s="95"/>
    </row>
    <row r="72" spans="11:17" x14ac:dyDescent="0.25">
      <c r="K72" s="113"/>
      <c r="L72" s="113"/>
      <c r="M72" s="113"/>
      <c r="N72" s="113"/>
      <c r="O72" s="95"/>
      <c r="P72" s="95"/>
      <c r="Q72" s="95"/>
    </row>
    <row r="73" spans="11:17" x14ac:dyDescent="0.25">
      <c r="K73" s="113"/>
      <c r="L73" s="113"/>
      <c r="M73" s="113"/>
      <c r="N73" s="113"/>
      <c r="O73" s="95"/>
      <c r="P73" s="95"/>
      <c r="Q73" s="95"/>
    </row>
    <row r="74" spans="11:17" x14ac:dyDescent="0.25">
      <c r="K74" s="113"/>
      <c r="L74" s="113"/>
      <c r="M74" s="113"/>
      <c r="N74" s="113"/>
      <c r="O74" s="95"/>
      <c r="P74" s="95"/>
      <c r="Q74" s="95"/>
    </row>
    <row r="75" spans="11:17" x14ac:dyDescent="0.25">
      <c r="K75" s="113"/>
      <c r="L75" s="113"/>
      <c r="M75" s="113"/>
      <c r="N75" s="113"/>
      <c r="O75" s="95"/>
      <c r="P75" s="95"/>
      <c r="Q75" s="95"/>
    </row>
    <row r="76" spans="11:17" x14ac:dyDescent="0.25">
      <c r="K76" s="113"/>
      <c r="L76" s="113"/>
      <c r="M76" s="113"/>
      <c r="N76" s="113"/>
      <c r="O76" s="95"/>
      <c r="P76" s="95"/>
      <c r="Q76" s="95"/>
    </row>
    <row r="77" spans="11:17" x14ac:dyDescent="0.25">
      <c r="K77" s="113"/>
      <c r="L77" s="113"/>
      <c r="M77" s="113"/>
      <c r="N77" s="113"/>
      <c r="O77" s="95"/>
      <c r="P77" s="95"/>
      <c r="Q77" s="95"/>
    </row>
    <row r="78" spans="11:17" x14ac:dyDescent="0.25">
      <c r="K78" s="95"/>
      <c r="L78" s="95"/>
      <c r="M78" s="95"/>
      <c r="N78" s="95"/>
      <c r="O78" s="95"/>
      <c r="P78" s="95"/>
      <c r="Q78" s="95"/>
    </row>
    <row r="79" spans="11:17" x14ac:dyDescent="0.25">
      <c r="K79" s="113"/>
      <c r="L79" s="95"/>
      <c r="M79" s="95"/>
      <c r="N79" s="95"/>
      <c r="O79" s="95"/>
      <c r="P79" s="95"/>
      <c r="Q79" s="95"/>
    </row>
    <row r="80" spans="11:17" x14ac:dyDescent="0.25">
      <c r="K80" s="113"/>
      <c r="L80" s="113"/>
      <c r="M80" s="95"/>
      <c r="N80" s="95"/>
      <c r="O80" s="95"/>
      <c r="P80" s="95"/>
      <c r="Q80" s="95"/>
    </row>
    <row r="81" spans="10:19" x14ac:dyDescent="0.25">
      <c r="K81" s="113"/>
      <c r="L81" s="113"/>
      <c r="M81" s="95"/>
      <c r="N81" s="95"/>
      <c r="O81" s="95"/>
      <c r="P81" s="95"/>
      <c r="Q81" s="95"/>
    </row>
    <row r="82" spans="10:19" x14ac:dyDescent="0.25">
      <c r="K82" s="31"/>
      <c r="L82" s="31"/>
      <c r="M82" s="31"/>
      <c r="N82" s="31"/>
      <c r="O82" s="31"/>
      <c r="P82" s="31"/>
      <c r="Q82" s="31"/>
    </row>
    <row r="83" spans="10:19" x14ac:dyDescent="0.25">
      <c r="K83" s="4"/>
      <c r="L83" s="4"/>
      <c r="M83" s="5"/>
      <c r="N83" s="5"/>
      <c r="O83" s="5"/>
      <c r="P83" s="5"/>
      <c r="Q83" s="5"/>
    </row>
    <row r="84" spans="10:19" x14ac:dyDescent="0.25">
      <c r="K84" s="4"/>
      <c r="L84" s="4"/>
      <c r="M84" s="5"/>
      <c r="N84" s="5"/>
      <c r="O84" s="5"/>
      <c r="P84" s="5"/>
      <c r="Q84" s="5"/>
    </row>
    <row r="85" spans="10:19" x14ac:dyDescent="0.25">
      <c r="K85" s="4"/>
      <c r="L85" s="4"/>
      <c r="M85" s="5"/>
      <c r="N85" s="5"/>
      <c r="O85" s="5"/>
      <c r="P85" s="5"/>
      <c r="Q85" s="5"/>
    </row>
    <row r="86" spans="10:19" x14ac:dyDescent="0.25">
      <c r="J86" s="119"/>
      <c r="K86" s="119"/>
      <c r="L86" s="119"/>
      <c r="M86" s="119"/>
      <c r="N86" s="119"/>
      <c r="O86" s="119"/>
      <c r="P86" s="115"/>
      <c r="Q86" s="115"/>
      <c r="R86" s="115"/>
      <c r="S86" s="115"/>
    </row>
    <row r="87" spans="10:19" x14ac:dyDescent="0.25">
      <c r="J87" s="98"/>
      <c r="K87" s="99"/>
      <c r="L87" s="99"/>
      <c r="M87" s="83"/>
      <c r="N87" s="95"/>
      <c r="O87" s="95"/>
      <c r="P87" s="98"/>
      <c r="Q87" s="99"/>
      <c r="R87" s="99"/>
      <c r="S87" s="96"/>
    </row>
    <row r="88" spans="10:19" x14ac:dyDescent="0.25">
      <c r="J88" s="98"/>
      <c r="K88" s="99"/>
      <c r="L88" s="99"/>
      <c r="M88" s="83"/>
      <c r="N88" s="95"/>
      <c r="O88" s="95"/>
      <c r="P88" s="98"/>
      <c r="Q88" s="99"/>
      <c r="R88" s="99"/>
      <c r="S88" s="96"/>
    </row>
    <row r="89" spans="10:19" x14ac:dyDescent="0.25">
      <c r="J89" s="98"/>
      <c r="K89" s="99"/>
      <c r="L89" s="99"/>
      <c r="M89" s="83"/>
      <c r="N89" s="95"/>
      <c r="O89" s="95"/>
      <c r="P89" s="98"/>
      <c r="Q89" s="110"/>
      <c r="R89" s="110"/>
      <c r="S89" s="111"/>
    </row>
    <row r="90" spans="10:19" x14ac:dyDescent="0.25">
      <c r="J90" s="98"/>
      <c r="K90" s="110"/>
      <c r="L90" s="99"/>
      <c r="M90" s="83"/>
      <c r="N90" s="95"/>
      <c r="O90" s="95"/>
      <c r="P90" s="98"/>
      <c r="Q90" s="110"/>
      <c r="R90" s="110"/>
      <c r="S90" s="111"/>
    </row>
    <row r="91" spans="10:19" x14ac:dyDescent="0.25">
      <c r="J91" s="98"/>
      <c r="K91" s="110"/>
      <c r="L91" s="99"/>
      <c r="M91" s="83"/>
      <c r="N91" s="95"/>
      <c r="O91" s="95"/>
      <c r="P91" s="98"/>
      <c r="Q91" s="110"/>
      <c r="R91" s="110"/>
      <c r="S91" s="111"/>
    </row>
    <row r="92" spans="10:19" x14ac:dyDescent="0.25">
      <c r="J92" s="98"/>
      <c r="K92" s="110"/>
      <c r="L92" s="99"/>
      <c r="M92" s="83"/>
      <c r="N92" s="95"/>
      <c r="O92" s="95"/>
      <c r="P92" s="98"/>
      <c r="Q92" s="110"/>
      <c r="R92" s="110"/>
      <c r="S92" s="111"/>
    </row>
    <row r="93" spans="10:19" x14ac:dyDescent="0.25">
      <c r="J93" s="98"/>
      <c r="K93" s="110"/>
      <c r="L93" s="99"/>
      <c r="M93" s="83"/>
      <c r="N93" s="120"/>
      <c r="O93" s="120"/>
      <c r="P93" s="98"/>
      <c r="Q93" s="110"/>
      <c r="R93" s="110"/>
      <c r="S93" s="111"/>
    </row>
    <row r="94" spans="10:19" x14ac:dyDescent="0.25">
      <c r="J94" s="98"/>
      <c r="K94" s="110"/>
      <c r="L94" s="99"/>
      <c r="M94" s="83"/>
      <c r="N94" s="113"/>
      <c r="O94" s="113"/>
      <c r="P94" s="98"/>
      <c r="Q94" s="110"/>
      <c r="R94" s="110"/>
      <c r="S94" s="111"/>
    </row>
    <row r="95" spans="10:19" x14ac:dyDescent="0.25">
      <c r="J95" s="98"/>
      <c r="K95" s="110"/>
      <c r="L95" s="99"/>
      <c r="M95" s="83"/>
      <c r="N95" s="113"/>
      <c r="O95" s="113"/>
      <c r="P95" s="98"/>
      <c r="Q95" s="110"/>
      <c r="R95" s="110"/>
      <c r="S95" s="111"/>
    </row>
    <row r="96" spans="10:19" x14ac:dyDescent="0.25">
      <c r="J96" s="98"/>
      <c r="K96" s="110"/>
      <c r="L96" s="99"/>
      <c r="M96" s="83"/>
      <c r="N96" s="113"/>
      <c r="O96" s="113"/>
      <c r="P96" s="98"/>
      <c r="Q96" s="110"/>
      <c r="R96" s="110"/>
      <c r="S96" s="111"/>
    </row>
    <row r="97" spans="10:19" x14ac:dyDescent="0.25">
      <c r="J97" s="98"/>
      <c r="K97" s="110"/>
      <c r="L97" s="99"/>
      <c r="M97" s="83"/>
      <c r="N97" s="113"/>
      <c r="O97" s="113"/>
      <c r="P97" s="98"/>
      <c r="Q97" s="110"/>
      <c r="R97" s="110"/>
      <c r="S97" s="111"/>
    </row>
    <row r="98" spans="10:19" x14ac:dyDescent="0.25">
      <c r="J98" s="98"/>
      <c r="K98" s="110"/>
      <c r="L98" s="99"/>
      <c r="M98" s="83"/>
      <c r="N98" s="113"/>
      <c r="O98" s="113"/>
      <c r="P98" s="98"/>
      <c r="Q98" s="110"/>
      <c r="R98" s="110"/>
      <c r="S98" s="111"/>
    </row>
    <row r="99" spans="10:19" x14ac:dyDescent="0.25">
      <c r="J99" s="98"/>
      <c r="K99" s="110"/>
      <c r="L99" s="99"/>
      <c r="M99" s="83"/>
      <c r="N99" s="113"/>
      <c r="O99" s="113"/>
      <c r="P99" s="98"/>
      <c r="Q99" s="110"/>
      <c r="R99" s="110"/>
      <c r="S99" s="111"/>
    </row>
    <row r="100" spans="10:19" x14ac:dyDescent="0.25">
      <c r="J100" s="98"/>
      <c r="K100" s="110"/>
      <c r="L100" s="99"/>
      <c r="M100" s="83"/>
      <c r="N100" s="113"/>
      <c r="O100" s="113"/>
      <c r="P100" s="98"/>
      <c r="Q100" s="110"/>
      <c r="R100" s="110"/>
      <c r="S100" s="111"/>
    </row>
    <row r="101" spans="10:19" x14ac:dyDescent="0.25">
      <c r="J101" s="98"/>
      <c r="K101" s="110"/>
      <c r="L101" s="99"/>
      <c r="M101" s="83"/>
      <c r="N101" s="113"/>
      <c r="O101" s="113"/>
      <c r="P101" s="98"/>
      <c r="Q101" s="110"/>
      <c r="R101" s="110"/>
      <c r="S101" s="111"/>
    </row>
    <row r="102" spans="10:19" x14ac:dyDescent="0.25">
      <c r="J102" s="98"/>
      <c r="K102" s="99"/>
      <c r="L102" s="99"/>
      <c r="M102" s="83"/>
      <c r="N102" s="113"/>
      <c r="O102" s="113"/>
      <c r="P102" s="98"/>
      <c r="Q102" s="110"/>
      <c r="R102" s="110"/>
      <c r="S102" s="111"/>
    </row>
    <row r="103" spans="10:19" x14ac:dyDescent="0.25">
      <c r="J103" s="98"/>
      <c r="K103" s="110"/>
      <c r="L103" s="110"/>
      <c r="M103" s="83"/>
      <c r="N103" s="113"/>
      <c r="O103" s="113"/>
      <c r="P103" s="98"/>
      <c r="Q103" s="110"/>
      <c r="R103" s="110"/>
      <c r="S103" s="111"/>
    </row>
    <row r="104" spans="10:19" x14ac:dyDescent="0.25">
      <c r="J104" s="98"/>
      <c r="K104" s="110"/>
      <c r="L104" s="110"/>
      <c r="M104" s="83"/>
      <c r="N104" s="113"/>
      <c r="O104" s="113"/>
      <c r="P104" s="98"/>
      <c r="Q104" s="110"/>
      <c r="R104" s="110"/>
      <c r="S104" s="111"/>
    </row>
    <row r="105" spans="10:19" x14ac:dyDescent="0.25">
      <c r="J105" s="98"/>
      <c r="K105" s="110"/>
      <c r="L105" s="110"/>
      <c r="M105" s="83"/>
      <c r="N105" s="113"/>
      <c r="O105" s="113"/>
      <c r="P105" s="98"/>
      <c r="Q105" s="110"/>
      <c r="R105" s="110"/>
      <c r="S105" s="111"/>
    </row>
    <row r="106" spans="10:19" x14ac:dyDescent="0.25">
      <c r="J106" s="98"/>
      <c r="K106" s="110"/>
      <c r="L106" s="110"/>
      <c r="M106" s="83"/>
      <c r="N106" s="113"/>
      <c r="O106" s="113"/>
      <c r="P106" s="98"/>
      <c r="Q106" s="110"/>
      <c r="R106" s="110"/>
      <c r="S106" s="111"/>
    </row>
    <row r="107" spans="10:19" x14ac:dyDescent="0.25">
      <c r="J107" s="98"/>
      <c r="K107" s="110"/>
      <c r="L107" s="110"/>
      <c r="M107" s="83"/>
      <c r="N107" s="113"/>
      <c r="O107" s="113"/>
      <c r="P107" s="98"/>
      <c r="Q107" s="110"/>
      <c r="R107" s="110"/>
      <c r="S107" s="111"/>
    </row>
    <row r="108" spans="10:19" x14ac:dyDescent="0.25">
      <c r="J108" s="98"/>
      <c r="K108" s="110"/>
      <c r="L108" s="110"/>
      <c r="M108" s="83"/>
      <c r="N108" s="113"/>
      <c r="O108" s="113"/>
      <c r="P108" s="98"/>
      <c r="Q108" s="110"/>
      <c r="R108" s="110"/>
      <c r="S108" s="111"/>
    </row>
    <row r="109" spans="10:19" x14ac:dyDescent="0.25">
      <c r="J109" s="98"/>
      <c r="K109" s="110"/>
      <c r="L109" s="110"/>
      <c r="M109" s="83"/>
      <c r="N109" s="113"/>
      <c r="O109" s="113"/>
      <c r="P109" s="98"/>
      <c r="Q109" s="110"/>
      <c r="R109" s="110"/>
      <c r="S109" s="111"/>
    </row>
    <row r="110" spans="10:19" x14ac:dyDescent="0.25">
      <c r="J110" s="98"/>
      <c r="K110" s="110"/>
      <c r="L110" s="110"/>
      <c r="M110" s="83"/>
      <c r="N110" s="95"/>
      <c r="O110" s="95"/>
      <c r="P110" s="98"/>
      <c r="Q110" s="110"/>
      <c r="R110" s="110"/>
      <c r="S110" s="111"/>
    </row>
    <row r="111" spans="10:19" x14ac:dyDescent="0.25">
      <c r="J111" s="98"/>
      <c r="K111" s="110"/>
      <c r="L111" s="110"/>
      <c r="M111" s="83"/>
      <c r="N111" s="95"/>
      <c r="O111" s="95"/>
      <c r="P111" s="98"/>
      <c r="Q111" s="110"/>
      <c r="R111" s="110"/>
      <c r="S111" s="111"/>
    </row>
    <row r="112" spans="10:19" x14ac:dyDescent="0.25">
      <c r="J112" s="98"/>
      <c r="K112" s="110"/>
      <c r="L112" s="110"/>
      <c r="M112" s="83"/>
      <c r="N112" s="95"/>
      <c r="O112" s="95"/>
      <c r="P112" s="98"/>
      <c r="Q112" s="110"/>
      <c r="R112" s="110"/>
      <c r="S112" s="111"/>
    </row>
    <row r="113" spans="10:19" x14ac:dyDescent="0.25">
      <c r="J113" s="98"/>
      <c r="K113" s="110"/>
      <c r="L113" s="110"/>
      <c r="M113" s="83"/>
      <c r="N113" s="95"/>
      <c r="O113" s="95"/>
      <c r="P113" s="98"/>
      <c r="Q113" s="110"/>
      <c r="R113" s="110"/>
      <c r="S113" s="111"/>
    </row>
    <row r="114" spans="10:19" x14ac:dyDescent="0.25">
      <c r="J114" s="96"/>
      <c r="K114" s="96"/>
      <c r="L114" s="96"/>
      <c r="M114" s="96"/>
      <c r="N114" s="96"/>
      <c r="O114" s="96"/>
      <c r="P114" s="98"/>
      <c r="Q114" s="110"/>
      <c r="R114" s="110"/>
      <c r="S114" s="111"/>
    </row>
    <row r="115" spans="10:19" x14ac:dyDescent="0.25">
      <c r="J115" s="96"/>
      <c r="K115" s="96"/>
      <c r="L115" s="96"/>
      <c r="M115" s="96"/>
      <c r="N115" s="96"/>
      <c r="O115" s="96"/>
      <c r="P115" s="98"/>
      <c r="Q115" s="110"/>
      <c r="R115" s="110"/>
      <c r="S115" s="111"/>
    </row>
  </sheetData>
  <mergeCells count="4">
    <mergeCell ref="K24:K43"/>
    <mergeCell ref="K44:K63"/>
    <mergeCell ref="K2:R2"/>
    <mergeCell ref="K4:K23"/>
  </mergeCells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1BE8-D713-4D83-A652-EF5A68403135}">
  <dimension ref="B1:Q60"/>
  <sheetViews>
    <sheetView zoomScale="71" workbookViewId="0">
      <selection activeCell="K8" sqref="K8"/>
    </sheetView>
  </sheetViews>
  <sheetFormatPr defaultRowHeight="15" x14ac:dyDescent="0.25"/>
  <cols>
    <col min="2" max="2" width="15.85546875" customWidth="1"/>
    <col min="3" max="3" width="16.28515625" customWidth="1"/>
    <col min="4" max="4" width="25.28515625" customWidth="1"/>
    <col min="5" max="5" width="26" customWidth="1"/>
    <col min="7" max="7" width="33.42578125" customWidth="1"/>
  </cols>
  <sheetData>
    <row r="1" spans="2:17" x14ac:dyDescent="0.25">
      <c r="B1" s="121" t="s">
        <v>261</v>
      </c>
    </row>
    <row r="2" spans="2:17" x14ac:dyDescent="0.25">
      <c r="B2" s="297" t="s">
        <v>99</v>
      </c>
      <c r="C2" s="297"/>
      <c r="D2" s="297"/>
      <c r="E2" s="297"/>
      <c r="G2" s="115"/>
      <c r="H2" s="115"/>
      <c r="I2" s="115"/>
      <c r="J2" s="115"/>
      <c r="K2" s="115"/>
      <c r="L2" s="115"/>
    </row>
    <row r="3" spans="2:17" x14ac:dyDescent="0.25">
      <c r="B3" s="44" t="s">
        <v>239</v>
      </c>
      <c r="C3" s="45" t="s">
        <v>262</v>
      </c>
      <c r="D3" s="45" t="s">
        <v>263</v>
      </c>
      <c r="E3" s="46" t="s">
        <v>100</v>
      </c>
      <c r="G3" s="219"/>
      <c r="H3" s="139" t="s">
        <v>56</v>
      </c>
      <c r="I3" s="139"/>
      <c r="J3" s="139"/>
      <c r="K3" s="139"/>
      <c r="L3" s="96"/>
      <c r="N3" s="8"/>
      <c r="O3" s="8"/>
    </row>
    <row r="4" spans="2:17" x14ac:dyDescent="0.25">
      <c r="B4" s="10">
        <v>0.216</v>
      </c>
      <c r="C4" s="4">
        <v>0.2</v>
      </c>
      <c r="D4" s="4">
        <v>0.78100000000000003</v>
      </c>
      <c r="E4" s="47">
        <v>0.187</v>
      </c>
      <c r="G4" s="98"/>
      <c r="H4" s="139"/>
      <c r="I4" s="139"/>
      <c r="J4" s="139"/>
      <c r="K4" s="139"/>
      <c r="L4" s="96"/>
      <c r="N4" s="8"/>
      <c r="O4" s="8"/>
    </row>
    <row r="5" spans="2:17" x14ac:dyDescent="0.25">
      <c r="B5" s="10">
        <v>0.34483330000000001</v>
      </c>
      <c r="C5" s="4">
        <v>0.14300000000000002</v>
      </c>
      <c r="D5" s="4">
        <v>0.30499999999999999</v>
      </c>
      <c r="E5" s="47">
        <v>0.37383329999999998</v>
      </c>
      <c r="G5" s="98"/>
      <c r="H5" s="139"/>
      <c r="I5" s="139"/>
      <c r="J5" s="139"/>
      <c r="K5" s="139"/>
      <c r="L5" s="96"/>
      <c r="N5" s="8"/>
      <c r="O5" s="8"/>
    </row>
    <row r="6" spans="2:17" x14ac:dyDescent="0.25">
      <c r="B6" s="10">
        <v>0.14199999999999999</v>
      </c>
      <c r="C6" s="4">
        <v>0.187</v>
      </c>
      <c r="D6" s="4">
        <v>0.34100000000000003</v>
      </c>
      <c r="E6" s="47">
        <v>0.47799999999999998</v>
      </c>
      <c r="G6" s="98"/>
      <c r="H6" s="139"/>
      <c r="I6" s="139"/>
      <c r="J6" s="139"/>
      <c r="K6" s="139"/>
      <c r="L6" s="96"/>
      <c r="N6" s="8"/>
      <c r="O6" s="8"/>
    </row>
    <row r="7" spans="2:17" x14ac:dyDescent="0.25">
      <c r="B7" s="10">
        <v>0.2172</v>
      </c>
      <c r="C7" s="4">
        <v>0.12500000000000003</v>
      </c>
      <c r="D7" s="4">
        <v>0.219</v>
      </c>
      <c r="E7" s="47">
        <v>0.44400000000000001</v>
      </c>
      <c r="G7" s="98"/>
      <c r="H7" s="139"/>
      <c r="I7" s="139"/>
      <c r="J7" s="139"/>
      <c r="K7" s="139"/>
      <c r="L7" s="96"/>
      <c r="N7" s="8"/>
      <c r="O7" s="8"/>
    </row>
    <row r="8" spans="2:17" x14ac:dyDescent="0.25">
      <c r="B8" s="10">
        <v>0.17199999999999999</v>
      </c>
      <c r="C8" s="4">
        <v>0.64200000000000002</v>
      </c>
      <c r="D8" s="4">
        <v>0.58720000000000006</v>
      </c>
      <c r="E8" s="47">
        <v>0.43583329999999998</v>
      </c>
      <c r="G8" s="98"/>
      <c r="H8" s="139"/>
      <c r="I8" s="139"/>
      <c r="J8" s="139"/>
      <c r="K8" s="139"/>
      <c r="L8" s="96"/>
    </row>
    <row r="9" spans="2:17" x14ac:dyDescent="0.25">
      <c r="B9" s="10">
        <v>0.193</v>
      </c>
      <c r="C9" s="4">
        <v>0.17499999999999999</v>
      </c>
      <c r="D9" s="4">
        <v>0.93200000000000005</v>
      </c>
      <c r="E9" s="47">
        <v>0.53100000000000003</v>
      </c>
      <c r="G9" s="98"/>
      <c r="H9" s="139"/>
      <c r="I9" s="139"/>
      <c r="J9" s="139"/>
      <c r="K9" s="139"/>
      <c r="L9" s="96"/>
      <c r="N9" s="5"/>
      <c r="O9" s="5"/>
      <c r="P9" s="5"/>
      <c r="Q9" s="5"/>
    </row>
    <row r="10" spans="2:17" x14ac:dyDescent="0.25">
      <c r="B10" s="10">
        <v>7.4999999999999997E-2</v>
      </c>
      <c r="C10" s="4">
        <v>0.23899999999999999</v>
      </c>
      <c r="D10" s="4">
        <v>1.29</v>
      </c>
      <c r="E10" s="47">
        <v>0.32900000000000001</v>
      </c>
      <c r="G10" s="98"/>
      <c r="H10" s="139"/>
      <c r="I10" s="139"/>
      <c r="J10" s="139"/>
      <c r="K10" s="139"/>
      <c r="L10" s="96"/>
      <c r="N10" s="73"/>
      <c r="O10" s="73"/>
      <c r="P10" s="73"/>
      <c r="Q10" s="73"/>
    </row>
    <row r="11" spans="2:17" x14ac:dyDescent="0.25">
      <c r="B11" s="10">
        <v>2.5000000000000001E-2</v>
      </c>
      <c r="C11" s="4">
        <v>1.0529999999999999</v>
      </c>
      <c r="D11" s="4">
        <v>1.0069999999999999</v>
      </c>
      <c r="E11" s="47">
        <v>0.34699999999999998</v>
      </c>
      <c r="G11" s="98"/>
      <c r="H11" s="139"/>
      <c r="I11" s="139"/>
      <c r="J11" s="139"/>
      <c r="K11" s="139"/>
      <c r="L11" s="96"/>
    </row>
    <row r="12" spans="2:17" x14ac:dyDescent="0.25">
      <c r="B12" s="10">
        <v>0.1158333</v>
      </c>
      <c r="C12" s="4">
        <v>0.17000000000000004</v>
      </c>
      <c r="D12" s="4">
        <v>0.69183329999999998</v>
      </c>
      <c r="E12" s="47">
        <v>0.23499999999999999</v>
      </c>
      <c r="G12" s="98"/>
      <c r="H12" s="139"/>
      <c r="I12" s="139"/>
      <c r="J12" s="139"/>
      <c r="K12" s="139"/>
      <c r="L12" s="96"/>
    </row>
    <row r="13" spans="2:17" x14ac:dyDescent="0.25">
      <c r="B13" s="10">
        <v>0.54300000000000004</v>
      </c>
      <c r="C13" s="217"/>
      <c r="D13" s="4">
        <v>0.55300000000000005</v>
      </c>
      <c r="E13" s="47">
        <v>0.16</v>
      </c>
      <c r="G13" s="98"/>
      <c r="H13" s="139"/>
      <c r="I13" s="139"/>
      <c r="J13" s="139"/>
      <c r="K13" s="139"/>
      <c r="L13" s="96"/>
    </row>
    <row r="14" spans="2:17" x14ac:dyDescent="0.25">
      <c r="B14" s="10">
        <v>8.3332999999999996E-4</v>
      </c>
      <c r="C14" s="4">
        <v>0.16800000000000004</v>
      </c>
      <c r="D14" s="4">
        <v>0.43183329999999998</v>
      </c>
      <c r="E14" s="47">
        <v>0.61099999999999999</v>
      </c>
      <c r="G14" s="98"/>
      <c r="H14" s="139"/>
      <c r="I14" s="139"/>
      <c r="J14" s="139"/>
      <c r="K14" s="139"/>
      <c r="L14" s="96"/>
    </row>
    <row r="15" spans="2:17" x14ac:dyDescent="0.25">
      <c r="B15" s="10">
        <v>0.1018333</v>
      </c>
      <c r="C15" s="4">
        <v>0.20300000000000001</v>
      </c>
      <c r="D15" s="4">
        <v>0.35720000000000002</v>
      </c>
      <c r="E15" s="47">
        <v>0.26900000000000002</v>
      </c>
      <c r="G15" s="98"/>
      <c r="H15" s="139"/>
      <c r="I15" s="139"/>
      <c r="J15" s="139"/>
      <c r="K15" s="139"/>
      <c r="L15" s="96"/>
    </row>
    <row r="16" spans="2:17" x14ac:dyDescent="0.25">
      <c r="B16" s="10">
        <v>0.17199999999999999</v>
      </c>
      <c r="C16" s="4">
        <v>0.71099999999999997</v>
      </c>
      <c r="D16" s="4">
        <v>0.69183329999999998</v>
      </c>
      <c r="E16" s="47">
        <v>0.40600000000000003</v>
      </c>
      <c r="G16" s="98"/>
      <c r="H16" s="139"/>
      <c r="I16" s="139"/>
      <c r="J16" s="139"/>
      <c r="K16" s="139"/>
      <c r="L16" s="96"/>
    </row>
    <row r="17" spans="2:12" x14ac:dyDescent="0.25">
      <c r="B17" s="10">
        <v>-0.01</v>
      </c>
      <c r="C17" s="4">
        <v>0.10900000000000001</v>
      </c>
      <c r="D17" s="4">
        <v>0.42399999999999999</v>
      </c>
      <c r="E17" s="47">
        <v>0.37383329999999998</v>
      </c>
      <c r="G17" s="98"/>
      <c r="H17" s="139"/>
      <c r="I17" s="139"/>
      <c r="J17" s="139"/>
      <c r="K17" s="139"/>
      <c r="L17" s="96"/>
    </row>
    <row r="18" spans="2:12" x14ac:dyDescent="0.25">
      <c r="B18" s="10">
        <v>0.09</v>
      </c>
      <c r="C18" s="4">
        <v>0.2</v>
      </c>
      <c r="D18" s="4">
        <v>0.68600000000000005</v>
      </c>
      <c r="E18" s="47">
        <v>1.3580000000000001</v>
      </c>
      <c r="G18" s="98"/>
      <c r="H18" s="139"/>
      <c r="I18" s="139"/>
      <c r="J18" s="139"/>
      <c r="K18" s="139"/>
      <c r="L18" s="96"/>
    </row>
    <row r="19" spans="2:12" x14ac:dyDescent="0.25">
      <c r="B19" s="10">
        <v>0.27100000000000002</v>
      </c>
      <c r="C19" s="4">
        <v>0.22300000000000003</v>
      </c>
      <c r="D19" s="4">
        <v>0.65500000000000003</v>
      </c>
      <c r="E19" s="47">
        <v>1.5671999999999999</v>
      </c>
      <c r="G19" s="98"/>
      <c r="H19" s="139"/>
      <c r="I19" s="139"/>
      <c r="J19" s="139"/>
      <c r="K19" s="139"/>
      <c r="L19" s="96"/>
    </row>
    <row r="20" spans="2:12" x14ac:dyDescent="0.25">
      <c r="B20" s="235"/>
      <c r="C20" s="4">
        <v>0.26600000000000001</v>
      </c>
      <c r="D20" s="4">
        <v>0.47199999999999998</v>
      </c>
      <c r="E20" s="47">
        <v>0.27400000000000002</v>
      </c>
      <c r="G20" s="98"/>
      <c r="H20" s="139"/>
      <c r="I20" s="139"/>
      <c r="J20" s="139"/>
      <c r="K20" s="139"/>
      <c r="L20" s="96"/>
    </row>
    <row r="21" spans="2:12" x14ac:dyDescent="0.25">
      <c r="B21" s="10">
        <v>7.8E-2</v>
      </c>
      <c r="C21" s="4">
        <v>0.316</v>
      </c>
      <c r="D21" s="4">
        <v>0.63400000000000001</v>
      </c>
      <c r="E21" s="47">
        <v>0.48599999999999999</v>
      </c>
      <c r="G21" s="98"/>
      <c r="H21" s="139"/>
      <c r="I21" s="139"/>
      <c r="J21" s="139"/>
      <c r="K21" s="139"/>
      <c r="L21" s="96"/>
    </row>
    <row r="22" spans="2:12" x14ac:dyDescent="0.25">
      <c r="B22" s="10">
        <v>1E-3</v>
      </c>
      <c r="C22" s="4">
        <v>0.51700000000000002</v>
      </c>
      <c r="D22" s="4">
        <v>0.55000000000000004</v>
      </c>
      <c r="E22" s="47">
        <v>0.58199999999999996</v>
      </c>
      <c r="G22" s="98"/>
      <c r="H22" s="139"/>
      <c r="I22" s="139"/>
      <c r="J22" s="139"/>
      <c r="K22" s="139"/>
      <c r="L22" s="96"/>
    </row>
    <row r="23" spans="2:12" x14ac:dyDescent="0.25">
      <c r="B23" s="29">
        <v>9.7000000000000003E-2</v>
      </c>
      <c r="C23" s="30">
        <v>0.89499999999999991</v>
      </c>
      <c r="D23" s="30">
        <v>1.9832000000000001</v>
      </c>
      <c r="E23" s="236"/>
      <c r="G23" s="98"/>
      <c r="H23" s="139"/>
      <c r="I23" s="139"/>
      <c r="J23" s="139"/>
      <c r="K23" s="139"/>
      <c r="L23" s="96"/>
    </row>
    <row r="24" spans="2:12" x14ac:dyDescent="0.25">
      <c r="G24" s="98"/>
      <c r="H24" s="139"/>
      <c r="I24" s="139"/>
      <c r="J24" s="139"/>
      <c r="K24" s="139"/>
      <c r="L24" s="96"/>
    </row>
    <row r="25" spans="2:12" x14ac:dyDescent="0.25">
      <c r="G25" s="98"/>
      <c r="H25" s="139"/>
      <c r="I25" s="139"/>
      <c r="J25" s="139"/>
      <c r="K25" s="139"/>
      <c r="L25" s="96"/>
    </row>
    <row r="26" spans="2:12" x14ac:dyDescent="0.25">
      <c r="G26" s="116"/>
      <c r="H26" s="116"/>
      <c r="I26" s="116"/>
      <c r="J26" s="116"/>
      <c r="K26" s="116"/>
      <c r="L26" s="116"/>
    </row>
    <row r="27" spans="2:12" x14ac:dyDescent="0.25">
      <c r="G27" s="98"/>
      <c r="H27" s="99"/>
      <c r="I27" s="96"/>
      <c r="J27" s="96"/>
      <c r="K27" s="96"/>
      <c r="L27" s="96"/>
    </row>
    <row r="28" spans="2:12" x14ac:dyDescent="0.25">
      <c r="G28" s="98"/>
      <c r="H28" s="99"/>
      <c r="I28" s="96"/>
      <c r="J28" s="96"/>
      <c r="K28" s="96"/>
      <c r="L28" s="96"/>
    </row>
    <row r="29" spans="2:12" x14ac:dyDescent="0.25">
      <c r="G29" s="98"/>
      <c r="H29" s="99"/>
      <c r="I29" s="96"/>
      <c r="J29" s="96"/>
      <c r="K29" s="96"/>
      <c r="L29" s="96"/>
    </row>
    <row r="30" spans="2:12" x14ac:dyDescent="0.25">
      <c r="G30" s="98"/>
      <c r="H30" s="99"/>
      <c r="I30" s="96"/>
      <c r="J30" s="96"/>
      <c r="K30" s="96"/>
      <c r="L30" s="96"/>
    </row>
    <row r="31" spans="2:12" x14ac:dyDescent="0.25">
      <c r="G31" s="98"/>
      <c r="H31" s="99"/>
      <c r="I31" s="96"/>
      <c r="J31" s="96"/>
      <c r="K31" s="96"/>
      <c r="L31" s="96"/>
    </row>
    <row r="32" spans="2:12" x14ac:dyDescent="0.25">
      <c r="G32" s="98"/>
      <c r="H32" s="99"/>
      <c r="I32" s="96"/>
      <c r="J32" s="96"/>
      <c r="K32" s="96"/>
      <c r="L32" s="96"/>
    </row>
    <row r="33" spans="7:12" x14ac:dyDescent="0.25">
      <c r="G33" s="98"/>
      <c r="H33" s="99"/>
      <c r="I33" s="96"/>
      <c r="J33" s="96"/>
      <c r="K33" s="96"/>
      <c r="L33" s="96"/>
    </row>
    <row r="34" spans="7:12" x14ac:dyDescent="0.25">
      <c r="G34" s="98"/>
      <c r="H34" s="99"/>
      <c r="I34" s="96"/>
      <c r="J34" s="96"/>
      <c r="K34" s="96"/>
      <c r="L34" s="96"/>
    </row>
    <row r="35" spans="7:12" x14ac:dyDescent="0.25">
      <c r="G35" s="98"/>
      <c r="H35" s="99"/>
      <c r="I35" s="96"/>
      <c r="J35" s="96"/>
      <c r="K35" s="96"/>
      <c r="L35" s="96"/>
    </row>
    <row r="36" spans="7:12" x14ac:dyDescent="0.25">
      <c r="G36" s="98"/>
      <c r="H36" s="99"/>
      <c r="I36" s="96"/>
      <c r="J36" s="96"/>
      <c r="K36" s="96"/>
      <c r="L36" s="96"/>
    </row>
    <row r="37" spans="7:12" x14ac:dyDescent="0.25">
      <c r="G37" s="98"/>
      <c r="H37" s="99"/>
      <c r="I37" s="96"/>
      <c r="J37" s="96"/>
      <c r="K37" s="96"/>
      <c r="L37" s="96"/>
    </row>
    <row r="38" spans="7:12" x14ac:dyDescent="0.25">
      <c r="G38" s="98"/>
      <c r="H38" s="99"/>
      <c r="I38" s="99"/>
      <c r="J38" s="99"/>
      <c r="K38" s="99"/>
      <c r="L38" s="99"/>
    </row>
    <row r="39" spans="7:12" x14ac:dyDescent="0.25">
      <c r="G39" s="98"/>
      <c r="H39" s="99"/>
      <c r="I39" s="99"/>
      <c r="J39" s="99"/>
      <c r="K39" s="99"/>
      <c r="L39" s="99"/>
    </row>
    <row r="40" spans="7:12" x14ac:dyDescent="0.25">
      <c r="G40" s="98"/>
      <c r="H40" s="99"/>
      <c r="I40" s="99"/>
      <c r="J40" s="99"/>
      <c r="K40" s="99"/>
      <c r="L40" s="99"/>
    </row>
    <row r="41" spans="7:12" x14ac:dyDescent="0.25">
      <c r="G41" s="98"/>
      <c r="H41" s="99"/>
      <c r="I41" s="99"/>
      <c r="J41" s="99"/>
      <c r="K41" s="99"/>
      <c r="L41" s="99"/>
    </row>
    <row r="42" spans="7:12" x14ac:dyDescent="0.25">
      <c r="G42" s="98"/>
      <c r="H42" s="99"/>
      <c r="I42" s="99"/>
      <c r="J42" s="99"/>
      <c r="K42" s="99"/>
      <c r="L42" s="99"/>
    </row>
    <row r="43" spans="7:12" x14ac:dyDescent="0.25">
      <c r="G43" s="98"/>
      <c r="H43" s="99"/>
      <c r="I43" s="99"/>
      <c r="J43" s="99"/>
      <c r="K43" s="99"/>
      <c r="L43" s="99"/>
    </row>
    <row r="44" spans="7:12" x14ac:dyDescent="0.25">
      <c r="G44" s="98"/>
      <c r="H44" s="99"/>
      <c r="I44" s="99"/>
      <c r="J44" s="99"/>
      <c r="K44" s="99"/>
      <c r="L44" s="99"/>
    </row>
    <row r="45" spans="7:12" x14ac:dyDescent="0.25">
      <c r="G45" s="98"/>
      <c r="H45" s="99"/>
      <c r="I45" s="99"/>
      <c r="J45" s="99"/>
      <c r="K45" s="99"/>
      <c r="L45" s="99"/>
    </row>
    <row r="46" spans="7:12" x14ac:dyDescent="0.25">
      <c r="G46" s="98"/>
      <c r="H46" s="99"/>
      <c r="I46" s="99"/>
      <c r="J46" s="99"/>
      <c r="K46" s="99"/>
      <c r="L46" s="99"/>
    </row>
    <row r="47" spans="7:12" x14ac:dyDescent="0.25">
      <c r="G47" s="98"/>
      <c r="H47" s="99"/>
      <c r="I47" s="99"/>
      <c r="J47" s="99"/>
      <c r="K47" s="99"/>
      <c r="L47" s="99"/>
    </row>
    <row r="48" spans="7:12" x14ac:dyDescent="0.25">
      <c r="G48" s="98"/>
      <c r="H48" s="99"/>
      <c r="I48" s="99"/>
      <c r="J48" s="99"/>
      <c r="K48" s="99"/>
      <c r="L48" s="99"/>
    </row>
    <row r="49" spans="7:12" x14ac:dyDescent="0.25">
      <c r="G49" s="98"/>
      <c r="H49" s="99"/>
      <c r="I49" s="99"/>
      <c r="J49" s="99"/>
      <c r="K49" s="99"/>
      <c r="L49" s="99"/>
    </row>
    <row r="50" spans="7:12" x14ac:dyDescent="0.25">
      <c r="G50" s="98"/>
      <c r="H50" s="99"/>
      <c r="I50" s="99"/>
      <c r="J50" s="99"/>
      <c r="K50" s="99"/>
      <c r="L50" s="99"/>
    </row>
    <row r="51" spans="7:12" x14ac:dyDescent="0.25">
      <c r="G51" s="98"/>
      <c r="H51" s="99"/>
      <c r="I51" s="99"/>
      <c r="J51" s="99"/>
      <c r="K51" s="99"/>
      <c r="L51" s="99"/>
    </row>
    <row r="52" spans="7:12" x14ac:dyDescent="0.25">
      <c r="G52" s="98"/>
      <c r="H52" s="99"/>
      <c r="I52" s="99"/>
      <c r="J52" s="99"/>
      <c r="K52" s="99"/>
      <c r="L52" s="99"/>
    </row>
    <row r="53" spans="7:12" x14ac:dyDescent="0.25">
      <c r="G53" s="98"/>
      <c r="H53" s="99"/>
      <c r="I53" s="99"/>
      <c r="J53" s="99"/>
      <c r="K53" s="99"/>
      <c r="L53" s="99"/>
    </row>
    <row r="54" spans="7:12" x14ac:dyDescent="0.25">
      <c r="G54" s="98"/>
      <c r="H54" s="99"/>
      <c r="I54" s="99"/>
      <c r="J54" s="99"/>
      <c r="K54" s="99"/>
      <c r="L54" s="99"/>
    </row>
    <row r="55" spans="7:12" x14ac:dyDescent="0.25">
      <c r="G55" s="98"/>
      <c r="H55" s="99"/>
      <c r="I55" s="99"/>
      <c r="J55" s="99"/>
      <c r="K55" s="99"/>
      <c r="L55" s="99"/>
    </row>
    <row r="56" spans="7:12" x14ac:dyDescent="0.25">
      <c r="G56" s="98"/>
      <c r="H56" s="99"/>
      <c r="I56" s="99"/>
      <c r="J56" s="99"/>
      <c r="K56" s="99"/>
      <c r="L56" s="99"/>
    </row>
    <row r="57" spans="7:12" x14ac:dyDescent="0.25">
      <c r="G57" s="98"/>
      <c r="H57" s="99"/>
      <c r="I57" s="99"/>
      <c r="J57" s="99"/>
      <c r="K57" s="99"/>
      <c r="L57" s="99"/>
    </row>
    <row r="58" spans="7:12" x14ac:dyDescent="0.25">
      <c r="G58" s="98"/>
      <c r="H58" s="99"/>
      <c r="I58" s="99"/>
      <c r="J58" s="99"/>
      <c r="K58" s="99"/>
      <c r="L58" s="99"/>
    </row>
    <row r="59" spans="7:12" x14ac:dyDescent="0.25">
      <c r="G59" s="98"/>
      <c r="H59" s="99"/>
      <c r="I59" s="99"/>
      <c r="J59" s="99"/>
      <c r="K59" s="99"/>
      <c r="L59" s="99"/>
    </row>
    <row r="60" spans="7:12" x14ac:dyDescent="0.25">
      <c r="G60" s="96"/>
      <c r="H60" s="96"/>
      <c r="I60" s="96"/>
      <c r="J60" s="96"/>
      <c r="K60" s="96"/>
      <c r="L60" s="96"/>
    </row>
  </sheetData>
  <mergeCells count="1">
    <mergeCell ref="B2:E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4985-5D0A-47C6-9652-965DD6C3DC35}">
  <dimension ref="A1:L55"/>
  <sheetViews>
    <sheetView zoomScale="92" workbookViewId="0">
      <selection activeCell="D9" sqref="D9"/>
    </sheetView>
  </sheetViews>
  <sheetFormatPr defaultRowHeight="15" x14ac:dyDescent="0.25"/>
  <cols>
    <col min="1" max="1" width="21.5703125" customWidth="1"/>
    <col min="2" max="2" width="26.5703125" customWidth="1"/>
    <col min="3" max="3" width="27.140625" customWidth="1"/>
    <col min="4" max="4" width="25.85546875" customWidth="1"/>
    <col min="6" max="6" width="22" customWidth="1"/>
    <col min="7" max="7" width="23.5703125" customWidth="1"/>
  </cols>
  <sheetData>
    <row r="1" spans="1:12" x14ac:dyDescent="0.25">
      <c r="E1" s="96"/>
      <c r="F1" s="96"/>
      <c r="G1" s="96"/>
      <c r="H1" s="96"/>
      <c r="I1" s="96"/>
      <c r="J1" s="96"/>
      <c r="K1" s="96"/>
      <c r="L1" s="96"/>
    </row>
    <row r="2" spans="1:12" x14ac:dyDescent="0.25">
      <c r="A2" s="121" t="s">
        <v>265</v>
      </c>
      <c r="E2" s="95"/>
      <c r="F2" s="115"/>
      <c r="G2" s="115"/>
      <c r="H2" s="96"/>
      <c r="I2" s="96"/>
      <c r="J2" s="96"/>
      <c r="K2" s="96"/>
      <c r="L2" s="96"/>
    </row>
    <row r="3" spans="1:12" x14ac:dyDescent="0.25">
      <c r="A3" s="298" t="s">
        <v>101</v>
      </c>
      <c r="B3" s="299"/>
      <c r="C3" s="300"/>
      <c r="E3" s="95"/>
      <c r="F3" s="166"/>
      <c r="G3" s="166"/>
      <c r="H3" s="96"/>
      <c r="I3" s="96"/>
      <c r="J3" s="96"/>
      <c r="K3" s="96"/>
      <c r="L3" s="96"/>
    </row>
    <row r="4" spans="1:12" x14ac:dyDescent="0.25">
      <c r="A4" s="3" t="s">
        <v>264</v>
      </c>
      <c r="B4" s="91" t="s">
        <v>102</v>
      </c>
      <c r="C4" s="6" t="s">
        <v>103</v>
      </c>
      <c r="E4" s="95"/>
      <c r="F4" s="166"/>
      <c r="G4" s="166"/>
      <c r="H4" s="96"/>
      <c r="I4" s="96"/>
      <c r="J4" s="96"/>
      <c r="K4" s="96"/>
      <c r="L4" s="96"/>
    </row>
    <row r="5" spans="1:12" x14ac:dyDescent="0.25">
      <c r="A5" s="3">
        <f>267*100000</f>
        <v>26700000</v>
      </c>
      <c r="B5" s="91">
        <f>238*100000</f>
        <v>23800000</v>
      </c>
      <c r="C5" s="6">
        <f>212*100000</f>
        <v>21200000</v>
      </c>
      <c r="E5" s="95"/>
      <c r="F5" s="166"/>
      <c r="G5" s="166"/>
      <c r="H5" s="96"/>
      <c r="I5" s="96"/>
      <c r="J5" s="96"/>
      <c r="K5" s="96"/>
      <c r="L5" s="96"/>
    </row>
    <row r="6" spans="1:12" x14ac:dyDescent="0.25">
      <c r="A6" s="3">
        <f>298*100000</f>
        <v>29800000</v>
      </c>
      <c r="B6" s="91">
        <f>44*100000</f>
        <v>4400000</v>
      </c>
      <c r="C6" s="6">
        <f>204*100000</f>
        <v>20400000</v>
      </c>
      <c r="E6" s="95"/>
      <c r="F6" s="166"/>
      <c r="G6" s="166"/>
      <c r="H6" s="96"/>
      <c r="I6" s="96"/>
      <c r="J6" s="96"/>
      <c r="K6" s="96"/>
      <c r="L6" s="96"/>
    </row>
    <row r="7" spans="1:12" x14ac:dyDescent="0.25">
      <c r="A7" s="3">
        <f>204*100000</f>
        <v>20400000</v>
      </c>
      <c r="B7" s="91">
        <f>223*100000</f>
        <v>22300000</v>
      </c>
      <c r="C7" s="6">
        <f>328*100000</f>
        <v>32800000</v>
      </c>
      <c r="E7" s="95"/>
      <c r="F7" s="166"/>
      <c r="G7" s="166"/>
      <c r="H7" s="96"/>
      <c r="I7" s="96"/>
      <c r="J7" s="96"/>
      <c r="K7" s="96"/>
      <c r="L7" s="96"/>
    </row>
    <row r="8" spans="1:12" x14ac:dyDescent="0.25">
      <c r="A8" s="3">
        <f>226*100000</f>
        <v>22600000</v>
      </c>
      <c r="B8" s="91">
        <f>250*100000</f>
        <v>25000000</v>
      </c>
      <c r="C8" s="6">
        <f>86*100000</f>
        <v>8600000</v>
      </c>
      <c r="E8" s="95"/>
      <c r="F8" s="166"/>
      <c r="G8" s="166"/>
      <c r="H8" s="96"/>
      <c r="I8" s="96"/>
      <c r="J8" s="96"/>
      <c r="K8" s="96"/>
      <c r="L8" s="96"/>
    </row>
    <row r="9" spans="1:12" x14ac:dyDescent="0.25">
      <c r="A9" s="3">
        <f>104*100000</f>
        <v>10400000</v>
      </c>
      <c r="B9" s="91">
        <f>62*100000</f>
        <v>6200000</v>
      </c>
      <c r="C9" s="6">
        <f>151*100000</f>
        <v>15100000</v>
      </c>
      <c r="E9" s="96"/>
      <c r="F9" s="166"/>
      <c r="G9" s="166"/>
      <c r="H9" s="96"/>
      <c r="I9" s="96"/>
      <c r="J9" s="96"/>
      <c r="K9" s="96"/>
      <c r="L9" s="96"/>
    </row>
    <row r="10" spans="1:12" x14ac:dyDescent="0.25">
      <c r="A10" s="3">
        <f>228*100000</f>
        <v>22800000</v>
      </c>
      <c r="B10" s="91">
        <f>21*100000</f>
        <v>2100000</v>
      </c>
      <c r="C10" s="6">
        <f>91*100000</f>
        <v>9100000</v>
      </c>
      <c r="E10" s="96"/>
      <c r="F10" s="166"/>
      <c r="G10" s="166"/>
      <c r="H10" s="96"/>
      <c r="I10" s="96"/>
      <c r="J10" s="96"/>
      <c r="K10" s="96"/>
      <c r="L10" s="96"/>
    </row>
    <row r="11" spans="1:12" x14ac:dyDescent="0.25">
      <c r="A11" s="3">
        <f>396*100000</f>
        <v>39600000</v>
      </c>
      <c r="B11" s="91">
        <f>72*100000</f>
        <v>7200000</v>
      </c>
      <c r="C11" s="6">
        <f>131*100000</f>
        <v>13100000</v>
      </c>
      <c r="E11" s="98"/>
      <c r="F11" s="166"/>
      <c r="G11" s="166"/>
      <c r="H11" s="96"/>
      <c r="I11" s="96"/>
      <c r="J11" s="96"/>
      <c r="K11" s="96"/>
      <c r="L11" s="96"/>
    </row>
    <row r="12" spans="1:12" x14ac:dyDescent="0.25">
      <c r="A12" s="3">
        <f>292*100000</f>
        <v>29200000</v>
      </c>
      <c r="B12" s="91">
        <f>148*100000</f>
        <v>14800000</v>
      </c>
      <c r="C12" s="6">
        <f>103*100000</f>
        <v>10300000</v>
      </c>
      <c r="E12" s="98"/>
      <c r="F12" s="166"/>
      <c r="G12" s="166"/>
      <c r="H12" s="96"/>
      <c r="I12" s="96"/>
      <c r="J12" s="96"/>
      <c r="K12" s="96"/>
      <c r="L12" s="96"/>
    </row>
    <row r="13" spans="1:12" x14ac:dyDescent="0.25">
      <c r="A13" s="3">
        <f>90*100000</f>
        <v>9000000</v>
      </c>
      <c r="B13" s="91">
        <f>110*100000</f>
        <v>11000000</v>
      </c>
      <c r="C13" s="6">
        <f>164*100000</f>
        <v>16400000</v>
      </c>
      <c r="E13" s="98"/>
      <c r="F13" s="166"/>
      <c r="G13" s="166"/>
      <c r="H13" s="96"/>
      <c r="I13" s="96"/>
      <c r="J13" s="96"/>
      <c r="K13" s="96"/>
      <c r="L13" s="96"/>
    </row>
    <row r="14" spans="1:12" x14ac:dyDescent="0.25">
      <c r="A14" s="3">
        <f>78*100000</f>
        <v>7800000</v>
      </c>
      <c r="B14" s="91">
        <f>44*100000</f>
        <v>4400000</v>
      </c>
      <c r="C14" s="6">
        <f>63*100000</f>
        <v>6300000</v>
      </c>
      <c r="E14" s="98"/>
      <c r="F14" s="166"/>
      <c r="G14" s="166"/>
      <c r="H14" s="96"/>
      <c r="I14" s="96"/>
      <c r="J14" s="96"/>
      <c r="K14" s="96"/>
      <c r="L14" s="96"/>
    </row>
    <row r="15" spans="1:12" x14ac:dyDescent="0.25">
      <c r="A15" s="82"/>
      <c r="B15" s="15"/>
      <c r="C15" s="16"/>
      <c r="E15" s="98"/>
      <c r="F15" s="166"/>
      <c r="G15" s="166"/>
      <c r="H15" s="96"/>
      <c r="I15" s="96"/>
      <c r="J15" s="96"/>
      <c r="K15" s="96"/>
      <c r="L15" s="96"/>
    </row>
    <row r="16" spans="1:12" x14ac:dyDescent="0.25">
      <c r="E16" s="98"/>
      <c r="F16" s="166"/>
      <c r="G16" s="166"/>
      <c r="H16" s="96"/>
      <c r="I16" s="96"/>
      <c r="J16" s="96"/>
      <c r="K16" s="96"/>
      <c r="L16" s="96"/>
    </row>
    <row r="17" spans="1:12" x14ac:dyDescent="0.25">
      <c r="E17" s="98"/>
      <c r="F17" s="166"/>
      <c r="G17" s="166"/>
      <c r="H17" s="96"/>
      <c r="I17" s="96"/>
      <c r="J17" s="96"/>
      <c r="K17" s="96"/>
      <c r="L17" s="96"/>
    </row>
    <row r="18" spans="1:12" x14ac:dyDescent="0.25">
      <c r="E18" s="98"/>
      <c r="F18" s="166"/>
      <c r="G18" s="166"/>
      <c r="H18" s="96"/>
      <c r="I18" s="96"/>
      <c r="J18" s="96"/>
      <c r="K18" s="96"/>
      <c r="L18" s="96"/>
    </row>
    <row r="19" spans="1:12" x14ac:dyDescent="0.25">
      <c r="E19" s="98"/>
      <c r="F19" s="166"/>
      <c r="G19" s="166"/>
      <c r="H19" s="96"/>
      <c r="I19" s="96"/>
      <c r="J19" s="96"/>
      <c r="K19" s="96"/>
      <c r="L19" s="96"/>
    </row>
    <row r="20" spans="1:12" x14ac:dyDescent="0.25">
      <c r="A20" s="96"/>
      <c r="B20" s="96"/>
      <c r="C20" s="96"/>
      <c r="D20" s="96"/>
      <c r="E20" s="98"/>
      <c r="F20" s="166"/>
      <c r="G20" s="166"/>
      <c r="H20" s="96"/>
      <c r="I20" s="96"/>
      <c r="J20" s="96"/>
      <c r="K20" s="96"/>
      <c r="L20" s="96"/>
    </row>
    <row r="21" spans="1:12" x14ac:dyDescent="0.25">
      <c r="A21" s="96"/>
      <c r="B21" s="96"/>
      <c r="C21" s="96"/>
      <c r="D21" s="96"/>
      <c r="E21" s="98"/>
      <c r="F21" s="166"/>
      <c r="G21" s="166"/>
      <c r="H21" s="96"/>
      <c r="I21" s="96"/>
      <c r="J21" s="96"/>
      <c r="K21" s="96"/>
      <c r="L21" s="96"/>
    </row>
    <row r="22" spans="1:12" x14ac:dyDescent="0.25">
      <c r="A22" s="275"/>
      <c r="B22" s="275"/>
      <c r="C22" s="275"/>
      <c r="D22" s="275"/>
      <c r="E22" s="98"/>
      <c r="F22" s="166"/>
      <c r="G22" s="166"/>
      <c r="H22" s="96"/>
      <c r="I22" s="96"/>
      <c r="J22" s="96"/>
      <c r="K22" s="96"/>
      <c r="L22" s="96"/>
    </row>
    <row r="23" spans="1:12" x14ac:dyDescent="0.25">
      <c r="A23" s="83"/>
      <c r="B23" s="95"/>
      <c r="C23" s="95"/>
      <c r="D23" s="95"/>
      <c r="E23" s="98"/>
      <c r="F23" s="166"/>
      <c r="G23" s="166"/>
      <c r="H23" s="96"/>
      <c r="I23" s="96"/>
      <c r="J23" s="96"/>
      <c r="K23" s="96"/>
      <c r="L23" s="96"/>
    </row>
    <row r="24" spans="1:12" x14ac:dyDescent="0.25">
      <c r="A24" s="113"/>
      <c r="B24" s="113"/>
      <c r="C24" s="113"/>
      <c r="D24" s="113"/>
      <c r="E24" s="96"/>
      <c r="F24" s="166"/>
      <c r="G24" s="166"/>
      <c r="H24" s="96"/>
      <c r="I24" s="96"/>
      <c r="J24" s="96"/>
      <c r="K24" s="96"/>
      <c r="L24" s="96"/>
    </row>
    <row r="25" spans="1:12" x14ac:dyDescent="0.25">
      <c r="A25" s="113"/>
      <c r="B25" s="113"/>
      <c r="C25" s="113"/>
      <c r="D25" s="113"/>
      <c r="E25" s="96"/>
      <c r="F25" s="166"/>
      <c r="G25" s="166"/>
      <c r="H25" s="96"/>
      <c r="I25" s="96"/>
      <c r="J25" s="96"/>
      <c r="K25" s="96"/>
      <c r="L25" s="96"/>
    </row>
    <row r="26" spans="1:12" x14ac:dyDescent="0.25">
      <c r="A26" s="113"/>
      <c r="B26" s="113"/>
      <c r="C26" s="113"/>
      <c r="D26" s="113"/>
      <c r="E26" s="96"/>
      <c r="F26" s="166"/>
      <c r="G26" s="166"/>
      <c r="H26" s="96"/>
      <c r="I26" s="96"/>
      <c r="J26" s="96"/>
      <c r="K26" s="96"/>
      <c r="L26" s="96"/>
    </row>
    <row r="27" spans="1:12" x14ac:dyDescent="0.25">
      <c r="A27" s="113"/>
      <c r="B27" s="113"/>
      <c r="C27" s="113"/>
      <c r="D27" s="113"/>
      <c r="E27" s="96"/>
      <c r="F27" s="166"/>
      <c r="G27" s="166"/>
      <c r="H27" s="96"/>
      <c r="I27" s="96"/>
      <c r="J27" s="96"/>
      <c r="K27" s="96"/>
      <c r="L27" s="96"/>
    </row>
    <row r="28" spans="1:12" x14ac:dyDescent="0.25">
      <c r="A28" s="113"/>
      <c r="B28" s="113"/>
      <c r="C28" s="113"/>
      <c r="D28" s="113"/>
      <c r="E28" s="96"/>
      <c r="F28" s="139"/>
      <c r="G28" s="96"/>
      <c r="H28" s="96"/>
      <c r="I28" s="96"/>
      <c r="J28" s="96"/>
      <c r="K28" s="96"/>
      <c r="L28" s="96"/>
    </row>
    <row r="29" spans="1:12" x14ac:dyDescent="0.25">
      <c r="A29" s="113"/>
      <c r="B29" s="113"/>
      <c r="C29" s="113"/>
      <c r="D29" s="113"/>
      <c r="E29" s="96"/>
      <c r="F29" s="116"/>
      <c r="G29" s="116"/>
      <c r="H29" s="96"/>
      <c r="I29" s="96"/>
      <c r="J29" s="96"/>
      <c r="K29" s="96"/>
      <c r="L29" s="96"/>
    </row>
    <row r="30" spans="1:12" x14ac:dyDescent="0.25">
      <c r="A30" s="113"/>
      <c r="B30" s="113"/>
      <c r="C30" s="113"/>
      <c r="D30" s="113"/>
      <c r="E30" s="96"/>
      <c r="F30" s="98"/>
      <c r="G30" s="139"/>
      <c r="H30" s="96"/>
      <c r="I30" s="96"/>
      <c r="J30" s="96"/>
      <c r="K30" s="96"/>
      <c r="L30" s="96"/>
    </row>
    <row r="31" spans="1:12" x14ac:dyDescent="0.25">
      <c r="A31" s="113"/>
      <c r="B31" s="113"/>
      <c r="C31" s="113"/>
      <c r="D31" s="113"/>
      <c r="E31" s="96"/>
      <c r="F31" s="98"/>
      <c r="G31" s="139"/>
      <c r="H31" s="96"/>
      <c r="I31" s="96"/>
      <c r="J31" s="96"/>
      <c r="K31" s="96"/>
      <c r="L31" s="96"/>
    </row>
    <row r="32" spans="1:12" x14ac:dyDescent="0.25">
      <c r="A32" s="113"/>
      <c r="B32" s="113"/>
      <c r="C32" s="113"/>
      <c r="D32" s="113"/>
      <c r="E32" s="96"/>
      <c r="F32" s="98"/>
      <c r="G32" s="139"/>
      <c r="H32" s="96"/>
      <c r="I32" s="96"/>
      <c r="J32" s="96"/>
      <c r="K32" s="96"/>
      <c r="L32" s="96"/>
    </row>
    <row r="33" spans="1:12" x14ac:dyDescent="0.25">
      <c r="A33" s="113"/>
      <c r="B33" s="113"/>
      <c r="C33" s="113"/>
      <c r="D33" s="113"/>
      <c r="E33" s="96"/>
      <c r="F33" s="98"/>
      <c r="G33" s="139"/>
      <c r="H33" s="96"/>
      <c r="I33" s="96"/>
      <c r="J33" s="96"/>
      <c r="K33" s="96"/>
      <c r="L33" s="96"/>
    </row>
    <row r="34" spans="1:12" x14ac:dyDescent="0.25">
      <c r="A34" s="113"/>
      <c r="B34" s="113"/>
      <c r="C34" s="113"/>
      <c r="D34" s="113"/>
      <c r="E34" s="96"/>
      <c r="F34" s="98"/>
      <c r="G34" s="139"/>
      <c r="H34" s="96"/>
      <c r="I34" s="96"/>
      <c r="J34" s="96"/>
      <c r="K34" s="96"/>
      <c r="L34" s="96"/>
    </row>
    <row r="35" spans="1:12" x14ac:dyDescent="0.25">
      <c r="A35" s="113"/>
      <c r="B35" s="113"/>
      <c r="C35" s="113"/>
      <c r="D35" s="113"/>
      <c r="E35" s="96"/>
      <c r="F35" s="98"/>
      <c r="G35" s="139"/>
      <c r="H35" s="96"/>
      <c r="I35" s="96"/>
      <c r="J35" s="96"/>
      <c r="K35" s="96"/>
      <c r="L35" s="96"/>
    </row>
    <row r="36" spans="1:12" x14ac:dyDescent="0.25">
      <c r="A36" s="113"/>
      <c r="B36" s="113"/>
      <c r="C36" s="113"/>
      <c r="D36" s="113"/>
      <c r="E36" s="96"/>
      <c r="F36" s="98"/>
      <c r="G36" s="139"/>
      <c r="H36" s="96"/>
      <c r="I36" s="96"/>
      <c r="J36" s="96"/>
      <c r="K36" s="96"/>
      <c r="L36" s="96"/>
    </row>
    <row r="37" spans="1:12" x14ac:dyDescent="0.25">
      <c r="A37" s="113"/>
      <c r="B37" s="113"/>
      <c r="C37" s="113"/>
      <c r="D37" s="113"/>
      <c r="E37" s="96"/>
      <c r="F37" s="98"/>
      <c r="G37" s="139"/>
      <c r="H37" s="96"/>
      <c r="I37" s="96"/>
      <c r="J37" s="96"/>
      <c r="K37" s="96"/>
      <c r="L37" s="96"/>
    </row>
    <row r="38" spans="1:12" x14ac:dyDescent="0.25">
      <c r="A38" s="113"/>
      <c r="B38" s="113"/>
      <c r="C38" s="113"/>
      <c r="D38" s="113"/>
      <c r="E38" s="96"/>
      <c r="F38" s="98"/>
      <c r="G38" s="139"/>
      <c r="H38" s="96"/>
      <c r="I38" s="96"/>
      <c r="J38" s="96"/>
      <c r="K38" s="96"/>
      <c r="L38" s="96"/>
    </row>
    <row r="39" spans="1:12" x14ac:dyDescent="0.25">
      <c r="A39" s="113"/>
      <c r="B39" s="113"/>
      <c r="C39" s="113"/>
      <c r="D39" s="113"/>
      <c r="E39" s="96"/>
      <c r="F39" s="98"/>
      <c r="G39" s="139"/>
      <c r="H39" s="96"/>
      <c r="I39" s="96"/>
      <c r="J39" s="96"/>
      <c r="K39" s="96"/>
      <c r="L39" s="96"/>
    </row>
    <row r="40" spans="1:12" x14ac:dyDescent="0.25">
      <c r="A40" s="113"/>
      <c r="B40" s="113"/>
      <c r="C40" s="113"/>
      <c r="D40" s="113"/>
      <c r="E40" s="96"/>
      <c r="F40" s="98"/>
      <c r="G40" s="139"/>
      <c r="H40" s="96"/>
      <c r="I40" s="96"/>
      <c r="J40" s="96"/>
      <c r="K40" s="96"/>
      <c r="L40" s="96"/>
    </row>
    <row r="41" spans="1:12" x14ac:dyDescent="0.25">
      <c r="A41" s="113"/>
      <c r="B41" s="113"/>
      <c r="C41" s="113"/>
      <c r="D41" s="113"/>
      <c r="E41" s="96"/>
      <c r="F41" s="98"/>
      <c r="G41" s="139"/>
      <c r="H41" s="96"/>
      <c r="I41" s="96"/>
      <c r="J41" s="96"/>
      <c r="K41" s="96"/>
      <c r="L41" s="96"/>
    </row>
    <row r="42" spans="1:12" x14ac:dyDescent="0.25">
      <c r="A42" s="113"/>
      <c r="B42" s="113"/>
      <c r="C42" s="113"/>
      <c r="D42" s="113"/>
      <c r="E42" s="96"/>
      <c r="F42" s="98"/>
      <c r="G42" s="139"/>
      <c r="H42" s="96"/>
      <c r="I42" s="96"/>
      <c r="J42" s="96"/>
      <c r="K42" s="96"/>
      <c r="L42" s="96"/>
    </row>
    <row r="43" spans="1:12" x14ac:dyDescent="0.25">
      <c r="A43" s="113"/>
      <c r="B43" s="113"/>
      <c r="C43" s="113"/>
      <c r="D43" s="113"/>
      <c r="E43" s="96"/>
      <c r="F43" s="98"/>
      <c r="G43" s="139"/>
      <c r="H43" s="96"/>
      <c r="I43" s="96"/>
      <c r="J43" s="96"/>
      <c r="K43" s="96"/>
      <c r="L43" s="96"/>
    </row>
    <row r="44" spans="1:12" x14ac:dyDescent="0.25">
      <c r="A44" s="113"/>
      <c r="B44" s="113"/>
      <c r="C44" s="113"/>
      <c r="D44" s="113"/>
      <c r="E44" s="96"/>
      <c r="F44" s="98"/>
      <c r="G44" s="139"/>
      <c r="H44" s="96"/>
      <c r="I44" s="96"/>
      <c r="J44" s="96"/>
      <c r="K44" s="96"/>
      <c r="L44" s="96"/>
    </row>
    <row r="45" spans="1:12" x14ac:dyDescent="0.25">
      <c r="A45" s="113"/>
      <c r="B45" s="113"/>
      <c r="C45" s="113"/>
      <c r="D45" s="113"/>
      <c r="E45" s="96"/>
      <c r="F45" s="98"/>
      <c r="G45" s="139"/>
      <c r="H45" s="96"/>
      <c r="I45" s="96"/>
      <c r="J45" s="96"/>
      <c r="K45" s="96"/>
      <c r="L45" s="96"/>
    </row>
    <row r="46" spans="1:12" x14ac:dyDescent="0.25">
      <c r="A46" s="98"/>
      <c r="B46" s="139"/>
      <c r="C46" s="139"/>
      <c r="D46" s="139"/>
      <c r="E46" s="96"/>
      <c r="F46" s="98"/>
      <c r="G46" s="139"/>
      <c r="H46" s="96"/>
      <c r="I46" s="96"/>
      <c r="J46" s="96"/>
      <c r="K46" s="96"/>
      <c r="L46" s="96"/>
    </row>
    <row r="47" spans="1:12" x14ac:dyDescent="0.25">
      <c r="A47" s="98"/>
      <c r="B47" s="139"/>
      <c r="C47" s="139"/>
      <c r="D47" s="139"/>
      <c r="E47" s="96"/>
      <c r="F47" s="98"/>
      <c r="G47" s="139"/>
      <c r="H47" s="96"/>
      <c r="I47" s="96"/>
      <c r="J47" s="96"/>
      <c r="K47" s="96"/>
      <c r="L47" s="96"/>
    </row>
    <row r="48" spans="1:12" x14ac:dyDescent="0.25">
      <c r="A48" s="98"/>
      <c r="B48" s="139"/>
      <c r="C48" s="139"/>
      <c r="D48" s="139"/>
      <c r="E48" s="96"/>
      <c r="F48" s="98"/>
      <c r="G48" s="139"/>
      <c r="H48" s="96"/>
      <c r="I48" s="96"/>
      <c r="J48" s="96"/>
      <c r="K48" s="96"/>
      <c r="L48" s="96"/>
    </row>
    <row r="49" spans="1:12" x14ac:dyDescent="0.25">
      <c r="A49" s="98"/>
      <c r="B49" s="139"/>
      <c r="C49" s="139"/>
      <c r="D49" s="139"/>
      <c r="E49" s="96"/>
      <c r="F49" s="98"/>
      <c r="G49" s="139"/>
      <c r="H49" s="96"/>
      <c r="I49" s="96"/>
      <c r="J49" s="96"/>
      <c r="K49" s="96"/>
      <c r="L49" s="96"/>
    </row>
    <row r="50" spans="1:12" x14ac:dyDescent="0.25">
      <c r="A50" s="98"/>
      <c r="B50" s="139"/>
      <c r="C50" s="139"/>
      <c r="D50" s="139"/>
      <c r="E50" s="96"/>
      <c r="F50" s="98"/>
      <c r="G50" s="139"/>
      <c r="H50" s="96"/>
      <c r="I50" s="96"/>
      <c r="J50" s="96"/>
      <c r="K50" s="96"/>
      <c r="L50" s="96"/>
    </row>
    <row r="51" spans="1:12" x14ac:dyDescent="0.25">
      <c r="A51" s="35"/>
      <c r="B51" s="23"/>
      <c r="C51" s="23"/>
      <c r="D51" s="23"/>
      <c r="E51" s="96"/>
      <c r="F51" s="98"/>
      <c r="G51" s="139"/>
      <c r="H51" s="96"/>
      <c r="I51" s="96"/>
      <c r="J51" s="96"/>
      <c r="K51" s="96"/>
      <c r="L51" s="96"/>
    </row>
    <row r="52" spans="1:12" x14ac:dyDescent="0.25">
      <c r="A52" s="35"/>
      <c r="B52" s="25"/>
      <c r="C52" s="25"/>
      <c r="D52" s="25"/>
      <c r="E52" s="96"/>
      <c r="F52" s="98"/>
      <c r="G52" s="139"/>
      <c r="H52" s="96"/>
      <c r="I52" s="96"/>
      <c r="J52" s="96"/>
      <c r="K52" s="96"/>
      <c r="L52" s="96"/>
    </row>
    <row r="53" spans="1:12" x14ac:dyDescent="0.25">
      <c r="E53" s="96"/>
      <c r="F53" s="98"/>
      <c r="G53" s="139"/>
      <c r="H53" s="96"/>
      <c r="I53" s="96"/>
      <c r="J53" s="96"/>
      <c r="K53" s="96"/>
      <c r="L53" s="96"/>
    </row>
    <row r="54" spans="1:12" x14ac:dyDescent="0.25">
      <c r="E54" s="96"/>
      <c r="F54" s="98"/>
      <c r="G54" s="139"/>
      <c r="H54" s="96"/>
      <c r="I54" s="96"/>
      <c r="J54" s="96"/>
      <c r="K54" s="96"/>
      <c r="L54" s="96"/>
    </row>
    <row r="55" spans="1:12" x14ac:dyDescent="0.25">
      <c r="E55" s="96"/>
      <c r="F55" s="96"/>
      <c r="G55" s="96"/>
      <c r="H55" s="96"/>
      <c r="I55" s="96"/>
      <c r="J55" s="96"/>
      <c r="K55" s="96"/>
      <c r="L55" s="96"/>
    </row>
  </sheetData>
  <mergeCells count="2">
    <mergeCell ref="A3:C3"/>
    <mergeCell ref="A22:D22"/>
  </mergeCells>
  <pageMargins left="0.7" right="0.7" top="0.75" bottom="0.75" header="0.3" footer="0.3"/>
  <pageSetup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4D1E-EEF6-410A-9501-67724291EB3C}">
  <dimension ref="A1:AO49"/>
  <sheetViews>
    <sheetView zoomScale="48" zoomScaleNormal="56" workbookViewId="0">
      <selection activeCell="E13" sqref="E13"/>
    </sheetView>
  </sheetViews>
  <sheetFormatPr defaultRowHeight="15" x14ac:dyDescent="0.25"/>
  <cols>
    <col min="32" max="32" width="10.28515625" customWidth="1"/>
  </cols>
  <sheetData>
    <row r="1" spans="1:41" x14ac:dyDescent="0.25">
      <c r="A1" s="121" t="s">
        <v>266</v>
      </c>
      <c r="P1" s="158"/>
      <c r="Q1" s="158"/>
      <c r="R1" s="158"/>
      <c r="V1" s="96"/>
      <c r="W1" s="96"/>
      <c r="X1" s="96"/>
      <c r="Y1" s="96"/>
      <c r="Z1" s="96"/>
      <c r="AA1" s="96"/>
      <c r="AB1" s="96"/>
      <c r="AJ1" s="90"/>
      <c r="AK1" s="90"/>
      <c r="AL1" s="90"/>
      <c r="AM1" s="90"/>
      <c r="AN1" s="90"/>
      <c r="AO1" s="90"/>
    </row>
    <row r="2" spans="1:41" x14ac:dyDescent="0.25">
      <c r="A2" s="311" t="s">
        <v>267</v>
      </c>
      <c r="B2" s="312"/>
      <c r="C2" s="312"/>
      <c r="D2" s="313"/>
      <c r="E2" s="158"/>
      <c r="F2" s="158"/>
      <c r="G2" s="158"/>
      <c r="H2" s="306" t="s">
        <v>114</v>
      </c>
      <c r="I2" s="307"/>
      <c r="J2" s="307"/>
      <c r="K2" s="308"/>
      <c r="L2" s="158"/>
      <c r="M2" s="158"/>
      <c r="O2" s="301" t="s">
        <v>115</v>
      </c>
      <c r="P2" s="302"/>
      <c r="Q2" s="302"/>
      <c r="R2" s="303"/>
      <c r="S2" s="158"/>
      <c r="T2" s="158"/>
      <c r="U2" s="90"/>
      <c r="V2" s="119"/>
      <c r="W2" s="119"/>
      <c r="X2" s="119"/>
      <c r="Y2" s="96"/>
      <c r="Z2" s="96"/>
      <c r="AA2" s="119"/>
      <c r="AB2" s="119"/>
      <c r="AJ2" s="90"/>
      <c r="AK2" s="90"/>
      <c r="AL2" s="90"/>
      <c r="AM2" s="90"/>
      <c r="AN2" s="90"/>
      <c r="AO2" s="90"/>
    </row>
    <row r="3" spans="1:41" x14ac:dyDescent="0.25">
      <c r="A3" s="1"/>
      <c r="B3" s="92"/>
      <c r="C3" s="309" t="s">
        <v>116</v>
      </c>
      <c r="D3" s="310"/>
      <c r="E3" s="158"/>
      <c r="F3" s="158"/>
      <c r="G3" s="119"/>
      <c r="H3" s="1"/>
      <c r="I3" s="92"/>
      <c r="J3" s="304" t="s">
        <v>116</v>
      </c>
      <c r="K3" s="305"/>
      <c r="L3" s="158"/>
      <c r="M3" s="158"/>
      <c r="O3" s="1"/>
      <c r="P3" s="92"/>
      <c r="Q3" s="157" t="s">
        <v>117</v>
      </c>
      <c r="R3" s="22" t="s">
        <v>118</v>
      </c>
      <c r="S3" s="157"/>
      <c r="T3" s="158"/>
      <c r="U3" s="90"/>
      <c r="V3" s="96"/>
      <c r="W3" s="96"/>
      <c r="X3" s="96"/>
      <c r="Y3" s="96"/>
      <c r="Z3" s="96"/>
      <c r="AA3" s="119"/>
      <c r="AB3" s="119"/>
      <c r="AJ3" s="167"/>
      <c r="AK3" s="168"/>
      <c r="AL3" s="168"/>
      <c r="AM3" s="168"/>
      <c r="AN3" s="90"/>
      <c r="AO3" s="90"/>
    </row>
    <row r="4" spans="1:41" x14ac:dyDescent="0.25">
      <c r="A4" s="1"/>
      <c r="B4" s="92"/>
      <c r="C4" s="157" t="s">
        <v>117</v>
      </c>
      <c r="D4" s="22" t="s">
        <v>118</v>
      </c>
      <c r="E4" s="13"/>
      <c r="F4" s="13"/>
      <c r="G4" s="140"/>
      <c r="H4" s="1"/>
      <c r="I4" s="92"/>
      <c r="J4" s="157" t="s">
        <v>117</v>
      </c>
      <c r="K4" s="22" t="s">
        <v>118</v>
      </c>
      <c r="L4" s="157"/>
      <c r="M4" s="157"/>
      <c r="O4" s="76" t="s">
        <v>122</v>
      </c>
      <c r="P4" s="77">
        <v>1</v>
      </c>
      <c r="Q4" s="77">
        <v>19</v>
      </c>
      <c r="R4" s="78">
        <v>24</v>
      </c>
      <c r="S4" s="92"/>
      <c r="T4" s="157"/>
      <c r="U4" s="92"/>
      <c r="V4" s="144"/>
      <c r="W4" s="144"/>
      <c r="X4" s="144"/>
      <c r="Y4" s="96"/>
      <c r="Z4" s="96"/>
      <c r="AA4" s="144"/>
      <c r="AB4" s="144"/>
      <c r="AJ4" s="167"/>
      <c r="AK4" s="168"/>
      <c r="AL4" s="168"/>
      <c r="AM4" s="168"/>
      <c r="AN4" s="90"/>
      <c r="AO4" s="90"/>
    </row>
    <row r="5" spans="1:41" x14ac:dyDescent="0.25">
      <c r="A5" s="76" t="s">
        <v>120</v>
      </c>
      <c r="B5" s="77">
        <v>1</v>
      </c>
      <c r="C5" s="77">
        <v>32</v>
      </c>
      <c r="D5" s="78">
        <v>33</v>
      </c>
      <c r="E5" s="92"/>
      <c r="F5" s="92"/>
      <c r="G5" s="96"/>
      <c r="H5" s="76" t="s">
        <v>121</v>
      </c>
      <c r="I5" s="77">
        <v>1</v>
      </c>
      <c r="J5" s="77">
        <v>15</v>
      </c>
      <c r="K5" s="78">
        <v>11</v>
      </c>
      <c r="L5" s="92"/>
      <c r="M5" s="92"/>
      <c r="O5" s="1"/>
      <c r="P5" s="92">
        <v>2</v>
      </c>
      <c r="Q5" s="92">
        <v>22</v>
      </c>
      <c r="R5" s="2">
        <v>28</v>
      </c>
      <c r="S5" s="92"/>
      <c r="T5" s="92"/>
      <c r="U5" s="92"/>
      <c r="V5" s="237"/>
      <c r="W5" s="144"/>
      <c r="X5" s="144"/>
      <c r="Y5" s="96"/>
      <c r="Z5" s="96"/>
      <c r="AA5" s="96"/>
      <c r="AB5" s="96"/>
      <c r="AJ5" s="167"/>
      <c r="AK5" s="168"/>
      <c r="AL5" s="168"/>
      <c r="AM5" s="168"/>
      <c r="AN5" s="90"/>
      <c r="AO5" s="90"/>
    </row>
    <row r="6" spans="1:41" x14ac:dyDescent="0.25">
      <c r="A6" s="1"/>
      <c r="B6" s="92">
        <v>2</v>
      </c>
      <c r="C6" s="92">
        <v>33</v>
      </c>
      <c r="D6" s="2">
        <v>33</v>
      </c>
      <c r="E6" s="92"/>
      <c r="F6" s="92"/>
      <c r="G6" s="96"/>
      <c r="H6" s="1"/>
      <c r="I6" s="92">
        <v>2</v>
      </c>
      <c r="J6" s="92">
        <v>14</v>
      </c>
      <c r="K6" s="2">
        <v>20</v>
      </c>
      <c r="L6" s="92"/>
      <c r="M6" s="92"/>
      <c r="O6" s="82"/>
      <c r="P6" s="15">
        <v>3</v>
      </c>
      <c r="Q6" s="15">
        <v>17</v>
      </c>
      <c r="R6" s="16">
        <v>24</v>
      </c>
      <c r="S6" s="92"/>
      <c r="T6" s="92"/>
      <c r="U6" s="92"/>
      <c r="V6" s="144"/>
      <c r="W6" s="144"/>
      <c r="X6" s="144"/>
      <c r="Y6" s="96"/>
      <c r="Z6" s="96"/>
      <c r="AA6" s="96"/>
      <c r="AB6" s="96"/>
      <c r="AJ6" s="167"/>
      <c r="AK6" s="168"/>
      <c r="AL6" s="168"/>
      <c r="AM6" s="168"/>
      <c r="AN6" s="90"/>
      <c r="AO6" s="90"/>
    </row>
    <row r="7" spans="1:41" x14ac:dyDescent="0.25">
      <c r="A7" s="82"/>
      <c r="B7" s="15">
        <v>3</v>
      </c>
      <c r="C7" s="15">
        <v>33</v>
      </c>
      <c r="D7" s="16">
        <v>20</v>
      </c>
      <c r="E7" s="92"/>
      <c r="F7" s="92"/>
      <c r="G7" s="96"/>
      <c r="H7" s="82"/>
      <c r="I7" s="15">
        <v>3</v>
      </c>
      <c r="J7" s="15">
        <v>15</v>
      </c>
      <c r="K7" s="16">
        <v>16</v>
      </c>
      <c r="L7" s="92"/>
      <c r="M7" s="92"/>
      <c r="O7" s="76" t="s">
        <v>125</v>
      </c>
      <c r="P7" s="77">
        <v>1</v>
      </c>
      <c r="Q7" s="77">
        <v>23</v>
      </c>
      <c r="R7" s="78">
        <v>29</v>
      </c>
      <c r="S7" s="92"/>
      <c r="T7" s="92"/>
      <c r="U7" s="92"/>
      <c r="V7" s="144"/>
      <c r="W7" s="144"/>
      <c r="X7" s="144"/>
      <c r="Y7" s="96"/>
      <c r="Z7" s="96"/>
      <c r="AA7" s="96"/>
      <c r="AB7" s="96"/>
      <c r="AJ7" s="167"/>
      <c r="AK7" s="168"/>
      <c r="AL7" s="168"/>
      <c r="AM7" s="168"/>
      <c r="AN7" s="90"/>
      <c r="AO7" s="90"/>
    </row>
    <row r="8" spans="1:41" x14ac:dyDescent="0.25">
      <c r="A8" s="76" t="s">
        <v>123</v>
      </c>
      <c r="B8" s="77">
        <v>1</v>
      </c>
      <c r="C8" s="77">
        <v>8</v>
      </c>
      <c r="D8" s="78">
        <v>7</v>
      </c>
      <c r="E8" s="92"/>
      <c r="F8" s="92"/>
      <c r="G8" s="96"/>
      <c r="H8" s="76" t="s">
        <v>124</v>
      </c>
      <c r="I8" s="77">
        <v>1</v>
      </c>
      <c r="J8" s="77">
        <v>15</v>
      </c>
      <c r="K8" s="78">
        <v>22</v>
      </c>
      <c r="L8" s="92"/>
      <c r="M8" s="92"/>
      <c r="O8" s="1"/>
      <c r="P8" s="92">
        <v>2</v>
      </c>
      <c r="Q8" s="92">
        <v>14</v>
      </c>
      <c r="R8" s="2">
        <v>21</v>
      </c>
      <c r="S8" s="92"/>
      <c r="T8" s="92"/>
      <c r="U8" s="92"/>
      <c r="V8" s="144"/>
      <c r="W8" s="144"/>
      <c r="X8" s="144"/>
      <c r="Y8" s="96"/>
      <c r="Z8" s="96"/>
      <c r="AA8" s="96"/>
      <c r="AB8" s="96"/>
      <c r="AJ8" s="167"/>
      <c r="AK8" s="168"/>
      <c r="AL8" s="168"/>
      <c r="AM8" s="168"/>
      <c r="AN8" s="90"/>
      <c r="AO8" s="90"/>
    </row>
    <row r="9" spans="1:41" x14ac:dyDescent="0.25">
      <c r="A9" s="1"/>
      <c r="B9" s="92">
        <v>2</v>
      </c>
      <c r="C9" s="92">
        <v>9</v>
      </c>
      <c r="D9" s="2">
        <v>19</v>
      </c>
      <c r="E9" s="92"/>
      <c r="F9" s="92"/>
      <c r="G9" s="96"/>
      <c r="H9" s="1"/>
      <c r="I9" s="92">
        <v>2</v>
      </c>
      <c r="J9" s="92">
        <v>14</v>
      </c>
      <c r="K9" s="2">
        <v>18</v>
      </c>
      <c r="L9" s="92"/>
      <c r="M9" s="92"/>
      <c r="O9" s="82"/>
      <c r="P9" s="15">
        <v>3</v>
      </c>
      <c r="Q9" s="15">
        <v>14</v>
      </c>
      <c r="R9" s="16">
        <v>20</v>
      </c>
      <c r="S9" s="92"/>
      <c r="T9" s="92"/>
      <c r="U9" s="92"/>
      <c r="V9" s="144"/>
      <c r="W9" s="144"/>
      <c r="X9" s="144"/>
      <c r="Y9" s="96"/>
      <c r="Z9" s="96"/>
      <c r="AA9" s="96"/>
      <c r="AB9" s="96"/>
      <c r="AJ9" s="167"/>
      <c r="AK9" s="168"/>
      <c r="AL9" s="168"/>
      <c r="AM9" s="168"/>
      <c r="AN9" s="90"/>
      <c r="AO9" s="90"/>
    </row>
    <row r="10" spans="1:41" x14ac:dyDescent="0.25">
      <c r="A10" s="82"/>
      <c r="B10" s="15">
        <v>3</v>
      </c>
      <c r="C10" s="15">
        <v>9</v>
      </c>
      <c r="D10" s="16">
        <v>19</v>
      </c>
      <c r="E10" s="92"/>
      <c r="F10" s="92"/>
      <c r="G10" s="96"/>
      <c r="H10" s="82"/>
      <c r="I10" s="15">
        <v>3</v>
      </c>
      <c r="J10" s="15">
        <v>17</v>
      </c>
      <c r="K10" s="16">
        <v>20</v>
      </c>
      <c r="L10" s="92"/>
      <c r="M10" s="92"/>
      <c r="O10" s="76" t="s">
        <v>128</v>
      </c>
      <c r="P10" s="77">
        <v>1</v>
      </c>
      <c r="Q10" s="77">
        <v>19</v>
      </c>
      <c r="R10" s="78">
        <v>20</v>
      </c>
      <c r="S10" s="92"/>
      <c r="T10" s="92"/>
      <c r="U10" s="92"/>
      <c r="V10" s="144"/>
      <c r="W10" s="144"/>
      <c r="X10" s="144"/>
      <c r="Y10" s="96"/>
      <c r="Z10" s="96"/>
      <c r="AA10" s="96"/>
      <c r="AB10" s="96"/>
      <c r="AJ10" s="167"/>
      <c r="AK10" s="168"/>
      <c r="AL10" s="168"/>
      <c r="AM10" s="168"/>
      <c r="AN10" s="90"/>
      <c r="AO10" s="90"/>
    </row>
    <row r="11" spans="1:41" x14ac:dyDescent="0.25">
      <c r="A11" s="76" t="s">
        <v>126</v>
      </c>
      <c r="B11" s="77">
        <v>1</v>
      </c>
      <c r="C11" s="77">
        <v>20</v>
      </c>
      <c r="D11" s="78">
        <v>25</v>
      </c>
      <c r="E11" s="92"/>
      <c r="F11" s="92"/>
      <c r="G11" s="96"/>
      <c r="H11" s="76" t="s">
        <v>127</v>
      </c>
      <c r="I11" s="77">
        <v>1</v>
      </c>
      <c r="J11" s="77">
        <v>14</v>
      </c>
      <c r="K11" s="78">
        <v>14</v>
      </c>
      <c r="L11" s="92"/>
      <c r="M11" s="92"/>
      <c r="O11" s="1"/>
      <c r="P11" s="92">
        <v>2</v>
      </c>
      <c r="Q11" s="92">
        <v>18</v>
      </c>
      <c r="R11" s="2">
        <v>21</v>
      </c>
      <c r="S11" s="92"/>
      <c r="T11" s="92"/>
      <c r="U11" s="92"/>
      <c r="V11" s="144"/>
      <c r="W11" s="144"/>
      <c r="X11" s="144"/>
      <c r="Y11" s="96"/>
      <c r="Z11" s="96"/>
      <c r="AA11" s="96"/>
      <c r="AB11" s="96"/>
      <c r="AJ11" s="167"/>
      <c r="AK11" s="168"/>
      <c r="AL11" s="168"/>
      <c r="AM11" s="168"/>
      <c r="AN11" s="90"/>
      <c r="AO11" s="90"/>
    </row>
    <row r="12" spans="1:41" x14ac:dyDescent="0.25">
      <c r="A12" s="1"/>
      <c r="B12" s="92">
        <v>2</v>
      </c>
      <c r="C12" s="92">
        <v>23</v>
      </c>
      <c r="D12" s="2">
        <v>28</v>
      </c>
      <c r="E12" s="92"/>
      <c r="F12" s="92"/>
      <c r="G12" s="96"/>
      <c r="H12" s="1"/>
      <c r="I12" s="92">
        <v>2</v>
      </c>
      <c r="J12" s="92">
        <v>10</v>
      </c>
      <c r="K12" s="2">
        <v>11</v>
      </c>
      <c r="L12" s="92"/>
      <c r="M12" s="92"/>
      <c r="O12" s="82"/>
      <c r="P12" s="15">
        <v>3</v>
      </c>
      <c r="Q12" s="15">
        <v>18</v>
      </c>
      <c r="R12" s="16">
        <v>24</v>
      </c>
      <c r="S12" s="92"/>
      <c r="T12" s="92"/>
      <c r="U12" s="92"/>
      <c r="V12" s="144"/>
      <c r="W12" s="144"/>
      <c r="X12" s="144"/>
      <c r="Y12" s="96"/>
      <c r="Z12" s="96"/>
      <c r="AA12" s="96"/>
      <c r="AB12" s="96"/>
      <c r="AJ12" s="167"/>
      <c r="AK12" s="168"/>
      <c r="AL12" s="168"/>
      <c r="AM12" s="168"/>
      <c r="AN12" s="90"/>
      <c r="AO12" s="90"/>
    </row>
    <row r="13" spans="1:41" x14ac:dyDescent="0.25">
      <c r="A13" s="82"/>
      <c r="B13" s="15">
        <v>3</v>
      </c>
      <c r="C13" s="15">
        <v>16</v>
      </c>
      <c r="D13" s="16">
        <v>24</v>
      </c>
      <c r="E13" s="92"/>
      <c r="F13" s="92"/>
      <c r="G13" s="96"/>
      <c r="H13" s="82"/>
      <c r="I13" s="15">
        <v>3</v>
      </c>
      <c r="J13" s="15">
        <v>15</v>
      </c>
      <c r="K13" s="16">
        <v>14</v>
      </c>
      <c r="L13" s="92"/>
      <c r="M13" s="92"/>
      <c r="O13" s="76" t="s">
        <v>131</v>
      </c>
      <c r="P13" s="77">
        <v>1</v>
      </c>
      <c r="Q13" s="77">
        <v>15</v>
      </c>
      <c r="R13" s="78">
        <v>20</v>
      </c>
      <c r="S13" s="92"/>
      <c r="T13" s="92"/>
      <c r="U13" s="92"/>
      <c r="V13" s="144"/>
      <c r="W13" s="144"/>
      <c r="X13" s="144"/>
      <c r="Y13" s="96"/>
      <c r="Z13" s="96"/>
      <c r="AA13" s="96"/>
      <c r="AB13" s="96"/>
      <c r="AJ13" s="167"/>
      <c r="AK13" s="168"/>
      <c r="AL13" s="168"/>
      <c r="AM13" s="168"/>
      <c r="AN13" s="90"/>
      <c r="AO13" s="90"/>
    </row>
    <row r="14" spans="1:41" x14ac:dyDescent="0.25">
      <c r="A14" s="76" t="s">
        <v>129</v>
      </c>
      <c r="B14" s="77">
        <v>1</v>
      </c>
      <c r="C14" s="77">
        <v>23</v>
      </c>
      <c r="D14" s="78">
        <v>24</v>
      </c>
      <c r="E14" s="92"/>
      <c r="F14" s="92"/>
      <c r="G14" s="96"/>
      <c r="H14" s="76" t="s">
        <v>130</v>
      </c>
      <c r="I14" s="77">
        <v>1</v>
      </c>
      <c r="J14" s="77">
        <v>12</v>
      </c>
      <c r="K14" s="78">
        <v>18</v>
      </c>
      <c r="L14" s="92"/>
      <c r="M14" s="92"/>
      <c r="O14" s="1"/>
      <c r="P14" s="92">
        <v>2</v>
      </c>
      <c r="Q14" s="92">
        <v>15</v>
      </c>
      <c r="R14" s="2">
        <v>19</v>
      </c>
      <c r="S14" s="92"/>
      <c r="T14" s="92"/>
      <c r="U14" s="92"/>
      <c r="V14" s="144"/>
      <c r="W14" s="144"/>
      <c r="X14" s="144"/>
      <c r="Y14" s="96"/>
      <c r="Z14" s="96"/>
      <c r="AA14" s="96"/>
      <c r="AB14" s="96"/>
      <c r="AJ14" s="167"/>
      <c r="AK14" s="168"/>
      <c r="AL14" s="168"/>
      <c r="AM14" s="168"/>
      <c r="AN14" s="90"/>
      <c r="AO14" s="90"/>
    </row>
    <row r="15" spans="1:41" x14ac:dyDescent="0.25">
      <c r="A15" s="1"/>
      <c r="B15" s="92">
        <v>2</v>
      </c>
      <c r="C15" s="92">
        <v>22</v>
      </c>
      <c r="D15" s="2">
        <v>24</v>
      </c>
      <c r="E15" s="92"/>
      <c r="F15" s="92"/>
      <c r="G15" s="96"/>
      <c r="H15" s="1"/>
      <c r="I15" s="92">
        <v>2</v>
      </c>
      <c r="J15" s="92">
        <v>12</v>
      </c>
      <c r="K15" s="2">
        <v>16</v>
      </c>
      <c r="L15" s="92"/>
      <c r="M15" s="92"/>
      <c r="O15" s="82"/>
      <c r="P15" s="15">
        <v>3</v>
      </c>
      <c r="Q15" s="15">
        <v>16</v>
      </c>
      <c r="R15" s="16">
        <v>18</v>
      </c>
      <c r="S15" s="92"/>
      <c r="T15" s="92"/>
      <c r="U15" s="92"/>
      <c r="V15" s="144"/>
      <c r="W15" s="144"/>
      <c r="X15" s="144"/>
      <c r="Y15" s="96"/>
      <c r="Z15" s="96"/>
      <c r="AA15" s="96"/>
      <c r="AB15" s="96"/>
      <c r="AJ15" s="167"/>
      <c r="AK15" s="168"/>
      <c r="AL15" s="168"/>
      <c r="AM15" s="168"/>
      <c r="AN15" s="90"/>
      <c r="AO15" s="90"/>
    </row>
    <row r="16" spans="1:41" x14ac:dyDescent="0.25">
      <c r="A16" s="82"/>
      <c r="B16" s="15">
        <v>3</v>
      </c>
      <c r="C16" s="15">
        <v>18</v>
      </c>
      <c r="D16" s="16">
        <v>25</v>
      </c>
      <c r="E16" s="92"/>
      <c r="F16" s="92"/>
      <c r="G16" s="96"/>
      <c r="H16" s="82"/>
      <c r="I16" s="15">
        <v>3</v>
      </c>
      <c r="J16" s="15">
        <v>11</v>
      </c>
      <c r="K16" s="16">
        <v>9</v>
      </c>
      <c r="L16" s="92"/>
      <c r="M16" s="92"/>
      <c r="O16" s="76" t="s">
        <v>134</v>
      </c>
      <c r="P16" s="77">
        <v>1</v>
      </c>
      <c r="Q16" s="77">
        <v>18</v>
      </c>
      <c r="R16" s="78">
        <v>15</v>
      </c>
      <c r="S16" s="92"/>
      <c r="T16" s="92"/>
      <c r="U16" s="92"/>
      <c r="V16" s="144"/>
      <c r="W16" s="144"/>
      <c r="X16" s="144"/>
      <c r="Y16" s="96"/>
      <c r="Z16" s="96"/>
      <c r="AA16" s="96"/>
      <c r="AB16" s="96"/>
      <c r="AJ16" s="167"/>
      <c r="AK16" s="168"/>
      <c r="AL16" s="168"/>
      <c r="AM16" s="168"/>
      <c r="AN16" s="90"/>
      <c r="AO16" s="90"/>
    </row>
    <row r="17" spans="1:41" x14ac:dyDescent="0.25">
      <c r="A17" s="76" t="s">
        <v>132</v>
      </c>
      <c r="B17" s="77">
        <v>1</v>
      </c>
      <c r="C17" s="77">
        <v>25</v>
      </c>
      <c r="D17" s="78">
        <v>23</v>
      </c>
      <c r="E17" s="92"/>
      <c r="F17" s="92"/>
      <c r="G17" s="96"/>
      <c r="H17" s="76" t="s">
        <v>133</v>
      </c>
      <c r="I17" s="77">
        <v>1</v>
      </c>
      <c r="J17" s="77">
        <v>9</v>
      </c>
      <c r="K17" s="78">
        <v>22</v>
      </c>
      <c r="L17" s="92"/>
      <c r="M17" s="92"/>
      <c r="O17" s="1"/>
      <c r="P17" s="92">
        <v>2</v>
      </c>
      <c r="Q17" s="92">
        <v>19</v>
      </c>
      <c r="R17" s="2">
        <v>14</v>
      </c>
      <c r="S17" s="92"/>
      <c r="T17" s="92"/>
      <c r="U17" s="92"/>
      <c r="AA17" s="96"/>
      <c r="AB17" s="96"/>
      <c r="AJ17" s="167"/>
      <c r="AK17" s="168"/>
      <c r="AL17" s="168"/>
      <c r="AM17" s="168"/>
      <c r="AN17" s="90"/>
      <c r="AO17" s="90"/>
    </row>
    <row r="18" spans="1:41" x14ac:dyDescent="0.25">
      <c r="A18" s="1"/>
      <c r="B18" s="92">
        <v>2</v>
      </c>
      <c r="C18" s="92">
        <v>35</v>
      </c>
      <c r="D18" s="2">
        <v>24</v>
      </c>
      <c r="E18" s="92"/>
      <c r="F18" s="92"/>
      <c r="G18" s="96"/>
      <c r="H18" s="1"/>
      <c r="I18" s="92">
        <v>2</v>
      </c>
      <c r="J18" s="92">
        <v>11</v>
      </c>
      <c r="K18" s="2">
        <v>19</v>
      </c>
      <c r="L18" s="92"/>
      <c r="M18" s="92"/>
      <c r="O18" s="82"/>
      <c r="P18" s="15">
        <v>3</v>
      </c>
      <c r="Q18" s="15">
        <v>19</v>
      </c>
      <c r="R18" s="16">
        <v>16</v>
      </c>
      <c r="S18" s="92"/>
      <c r="T18" s="92"/>
      <c r="U18" s="92"/>
      <c r="AA18" s="96"/>
      <c r="AB18" s="96"/>
      <c r="AJ18" s="167"/>
      <c r="AK18" s="168"/>
      <c r="AL18" s="168"/>
      <c r="AM18" s="168"/>
      <c r="AN18" s="90"/>
      <c r="AO18" s="90"/>
    </row>
    <row r="19" spans="1:41" x14ac:dyDescent="0.25">
      <c r="A19" s="82"/>
      <c r="B19" s="15">
        <v>3</v>
      </c>
      <c r="C19" s="15">
        <v>25</v>
      </c>
      <c r="D19" s="16">
        <v>30</v>
      </c>
      <c r="E19" s="92"/>
      <c r="F19" s="92"/>
      <c r="G19" s="96"/>
      <c r="H19" s="82"/>
      <c r="I19" s="15">
        <v>3</v>
      </c>
      <c r="J19" s="15">
        <v>12</v>
      </c>
      <c r="K19" s="16">
        <v>17</v>
      </c>
      <c r="L19" s="92"/>
      <c r="M19" s="92"/>
      <c r="O19" s="76" t="s">
        <v>137</v>
      </c>
      <c r="P19" s="77">
        <v>1</v>
      </c>
      <c r="Q19" s="77">
        <v>12</v>
      </c>
      <c r="R19" s="78">
        <v>20</v>
      </c>
      <c r="S19" s="92"/>
      <c r="T19" s="92"/>
      <c r="U19" s="92"/>
      <c r="AA19" s="96"/>
      <c r="AB19" s="96"/>
      <c r="AJ19" s="167"/>
      <c r="AK19" s="168"/>
      <c r="AL19" s="168"/>
      <c r="AM19" s="168"/>
      <c r="AN19" s="90"/>
      <c r="AO19" s="90"/>
    </row>
    <row r="20" spans="1:41" x14ac:dyDescent="0.25">
      <c r="A20" s="76" t="s">
        <v>135</v>
      </c>
      <c r="B20" s="77">
        <v>1</v>
      </c>
      <c r="C20" s="77">
        <v>23</v>
      </c>
      <c r="D20" s="78">
        <v>31</v>
      </c>
      <c r="E20" s="92"/>
      <c r="F20" s="92"/>
      <c r="G20" s="96"/>
      <c r="H20" s="76" t="s">
        <v>136</v>
      </c>
      <c r="I20" s="77">
        <v>1</v>
      </c>
      <c r="J20" s="77">
        <v>8</v>
      </c>
      <c r="K20" s="78">
        <v>9</v>
      </c>
      <c r="L20" s="92"/>
      <c r="M20" s="92"/>
      <c r="O20" s="1"/>
      <c r="P20" s="92">
        <v>2</v>
      </c>
      <c r="Q20" s="92">
        <v>17</v>
      </c>
      <c r="R20" s="2">
        <v>15</v>
      </c>
      <c r="S20" s="92"/>
      <c r="T20" s="92"/>
      <c r="U20" s="92"/>
      <c r="AA20" s="96"/>
      <c r="AB20" s="96"/>
      <c r="AJ20" s="167"/>
      <c r="AK20" s="168"/>
      <c r="AL20" s="168"/>
      <c r="AM20" s="168"/>
      <c r="AN20" s="90"/>
      <c r="AO20" s="90"/>
    </row>
    <row r="21" spans="1:41" x14ac:dyDescent="0.25">
      <c r="A21" s="1"/>
      <c r="B21" s="92">
        <v>2</v>
      </c>
      <c r="C21" s="92">
        <v>25</v>
      </c>
      <c r="D21" s="2">
        <v>22</v>
      </c>
      <c r="E21" s="92"/>
      <c r="F21" s="92"/>
      <c r="G21" s="96"/>
      <c r="H21" s="1"/>
      <c r="I21" s="92">
        <v>2</v>
      </c>
      <c r="J21" s="92">
        <v>4</v>
      </c>
      <c r="K21" s="2">
        <v>10</v>
      </c>
      <c r="L21" s="92"/>
      <c r="M21" s="92"/>
      <c r="O21" s="82"/>
      <c r="P21" s="15">
        <v>3</v>
      </c>
      <c r="Q21" s="15">
        <v>16</v>
      </c>
      <c r="R21" s="16">
        <v>25</v>
      </c>
      <c r="S21" s="92"/>
      <c r="T21" s="92"/>
      <c r="U21" s="92"/>
      <c r="AA21" s="96"/>
      <c r="AB21" s="96"/>
      <c r="AJ21" s="167"/>
      <c r="AK21" s="168"/>
      <c r="AL21" s="168"/>
      <c r="AM21" s="168"/>
      <c r="AN21" s="90"/>
      <c r="AO21" s="90"/>
    </row>
    <row r="22" spans="1:41" x14ac:dyDescent="0.25">
      <c r="A22" s="82"/>
      <c r="B22" s="15">
        <v>3</v>
      </c>
      <c r="C22" s="15">
        <v>28</v>
      </c>
      <c r="D22" s="16">
        <v>17</v>
      </c>
      <c r="E22" s="92"/>
      <c r="F22" s="92"/>
      <c r="G22" s="96"/>
      <c r="H22" s="82"/>
      <c r="I22" s="15">
        <v>3</v>
      </c>
      <c r="J22" s="15">
        <v>9</v>
      </c>
      <c r="K22" s="16">
        <v>11</v>
      </c>
      <c r="L22" s="92"/>
      <c r="M22" s="92"/>
      <c r="O22" s="76" t="s">
        <v>140</v>
      </c>
      <c r="P22" s="77">
        <v>1</v>
      </c>
      <c r="Q22" s="77">
        <v>23</v>
      </c>
      <c r="R22" s="78">
        <v>28</v>
      </c>
      <c r="S22" s="92"/>
      <c r="T22" s="92"/>
      <c r="U22" s="92"/>
      <c r="AA22" s="96"/>
      <c r="AB22" s="96"/>
      <c r="AJ22" s="167"/>
      <c r="AK22" s="168"/>
      <c r="AL22" s="168"/>
      <c r="AM22" s="168"/>
      <c r="AN22" s="90"/>
      <c r="AO22" s="90"/>
    </row>
    <row r="23" spans="1:41" x14ac:dyDescent="0.25">
      <c r="A23" s="76" t="s">
        <v>138</v>
      </c>
      <c r="B23" s="77">
        <v>1</v>
      </c>
      <c r="C23" s="77">
        <v>18</v>
      </c>
      <c r="D23" s="78">
        <v>16</v>
      </c>
      <c r="E23" s="92"/>
      <c r="F23" s="92"/>
      <c r="G23" s="96"/>
      <c r="H23" s="76" t="s">
        <v>139</v>
      </c>
      <c r="I23" s="77">
        <v>1</v>
      </c>
      <c r="J23" s="77">
        <v>14</v>
      </c>
      <c r="K23" s="78">
        <v>14</v>
      </c>
      <c r="L23" s="92"/>
      <c r="M23" s="92"/>
      <c r="O23" s="1"/>
      <c r="P23" s="92">
        <v>2</v>
      </c>
      <c r="Q23" s="92">
        <v>21</v>
      </c>
      <c r="R23" s="2">
        <v>33</v>
      </c>
      <c r="S23" s="92"/>
      <c r="T23" s="92"/>
      <c r="U23" s="92"/>
      <c r="AA23" s="96"/>
      <c r="AB23" s="96"/>
      <c r="AJ23" s="167"/>
      <c r="AK23" s="168"/>
      <c r="AL23" s="168"/>
      <c r="AM23" s="168"/>
      <c r="AN23" s="90"/>
      <c r="AO23" s="90"/>
    </row>
    <row r="24" spans="1:41" x14ac:dyDescent="0.25">
      <c r="A24" s="1"/>
      <c r="B24" s="92">
        <v>2</v>
      </c>
      <c r="C24" s="92">
        <v>16</v>
      </c>
      <c r="D24" s="2">
        <v>19</v>
      </c>
      <c r="E24" s="92"/>
      <c r="F24" s="92"/>
      <c r="G24" s="96"/>
      <c r="H24" s="1"/>
      <c r="I24" s="92">
        <v>2</v>
      </c>
      <c r="J24" s="92">
        <v>15</v>
      </c>
      <c r="K24" s="2">
        <v>15</v>
      </c>
      <c r="L24" s="92"/>
      <c r="M24" s="92"/>
      <c r="O24" s="82"/>
      <c r="P24" s="15">
        <v>3</v>
      </c>
      <c r="Q24" s="15">
        <v>27</v>
      </c>
      <c r="R24" s="16">
        <v>21</v>
      </c>
      <c r="S24" s="92"/>
      <c r="T24" s="92"/>
      <c r="U24" s="92"/>
      <c r="AA24" s="96"/>
      <c r="AB24" s="96"/>
      <c r="AJ24" s="167"/>
      <c r="AK24" s="168"/>
      <c r="AL24" s="168"/>
      <c r="AM24" s="168"/>
      <c r="AN24" s="90"/>
      <c r="AO24" s="90"/>
    </row>
    <row r="25" spans="1:41" x14ac:dyDescent="0.25">
      <c r="A25" s="82"/>
      <c r="B25" s="15">
        <v>3</v>
      </c>
      <c r="C25" s="15">
        <v>16</v>
      </c>
      <c r="D25" s="16">
        <v>12</v>
      </c>
      <c r="E25" s="92"/>
      <c r="F25" s="92"/>
      <c r="G25" s="96"/>
      <c r="H25" s="82"/>
      <c r="I25" s="15">
        <v>3</v>
      </c>
      <c r="J25" s="15">
        <v>16</v>
      </c>
      <c r="K25" s="16">
        <v>16</v>
      </c>
      <c r="L25" s="92"/>
      <c r="M25" s="92"/>
      <c r="O25" s="76" t="s">
        <v>143</v>
      </c>
      <c r="P25" s="77">
        <v>1</v>
      </c>
      <c r="Q25" s="77">
        <v>7</v>
      </c>
      <c r="R25" s="78">
        <v>6</v>
      </c>
      <c r="S25" s="92"/>
      <c r="T25" s="92"/>
      <c r="U25" s="92"/>
      <c r="AA25" s="96"/>
      <c r="AB25" s="96"/>
      <c r="AJ25" s="167"/>
      <c r="AK25" s="168"/>
      <c r="AL25" s="90"/>
      <c r="AM25" s="167"/>
      <c r="AN25" s="168"/>
      <c r="AO25" s="90"/>
    </row>
    <row r="26" spans="1:41" x14ac:dyDescent="0.25">
      <c r="A26" s="76" t="s">
        <v>141</v>
      </c>
      <c r="B26" s="77">
        <v>1</v>
      </c>
      <c r="C26" s="77">
        <v>22</v>
      </c>
      <c r="D26" s="78">
        <v>17</v>
      </c>
      <c r="E26" s="92"/>
      <c r="F26" s="92"/>
      <c r="G26" s="96"/>
      <c r="H26" s="76" t="s">
        <v>142</v>
      </c>
      <c r="I26" s="77">
        <v>1</v>
      </c>
      <c r="J26" s="77">
        <v>13</v>
      </c>
      <c r="K26" s="78">
        <v>16</v>
      </c>
      <c r="L26" s="92"/>
      <c r="M26" s="92"/>
      <c r="O26" s="1"/>
      <c r="P26" s="92">
        <v>2</v>
      </c>
      <c r="Q26" s="92">
        <v>9</v>
      </c>
      <c r="R26" s="2">
        <v>12</v>
      </c>
      <c r="S26" s="92"/>
      <c r="T26" s="92"/>
      <c r="U26" s="92"/>
      <c r="AA26" s="96"/>
      <c r="AB26" s="96"/>
      <c r="AJ26" s="167"/>
      <c r="AK26" s="168"/>
      <c r="AL26" s="90"/>
      <c r="AM26" s="167"/>
      <c r="AN26" s="168"/>
      <c r="AO26" s="90"/>
    </row>
    <row r="27" spans="1:41" x14ac:dyDescent="0.25">
      <c r="A27" s="1"/>
      <c r="B27" s="92">
        <v>2</v>
      </c>
      <c r="C27" s="92">
        <v>16</v>
      </c>
      <c r="D27" s="2">
        <v>21</v>
      </c>
      <c r="E27" s="92"/>
      <c r="F27" s="92"/>
      <c r="G27" s="96"/>
      <c r="H27" s="1"/>
      <c r="I27" s="92">
        <v>2</v>
      </c>
      <c r="J27" s="92">
        <v>22</v>
      </c>
      <c r="K27" s="2">
        <v>15</v>
      </c>
      <c r="L27" s="92"/>
      <c r="M27" s="92"/>
      <c r="O27" s="82"/>
      <c r="P27" s="15">
        <v>3</v>
      </c>
      <c r="Q27" s="15">
        <v>5</v>
      </c>
      <c r="R27" s="16">
        <v>18</v>
      </c>
      <c r="S27" s="92"/>
      <c r="T27" s="92"/>
      <c r="U27" s="92"/>
      <c r="AA27" s="96"/>
      <c r="AB27" s="96"/>
      <c r="AJ27" s="167"/>
      <c r="AK27" s="168"/>
      <c r="AL27" s="90"/>
      <c r="AM27" s="167"/>
      <c r="AN27" s="168"/>
      <c r="AO27" s="90"/>
    </row>
    <row r="28" spans="1:41" x14ac:dyDescent="0.25">
      <c r="A28" s="82"/>
      <c r="B28" s="15">
        <v>3</v>
      </c>
      <c r="C28" s="15">
        <v>16</v>
      </c>
      <c r="D28" s="16">
        <v>23</v>
      </c>
      <c r="E28" s="92"/>
      <c r="F28" s="92"/>
      <c r="G28" s="96"/>
      <c r="H28" s="82"/>
      <c r="I28" s="15">
        <v>3</v>
      </c>
      <c r="J28" s="15">
        <v>15</v>
      </c>
      <c r="K28" s="16">
        <v>16</v>
      </c>
      <c r="L28" s="92"/>
      <c r="M28" s="92"/>
      <c r="O28" s="76" t="s">
        <v>146</v>
      </c>
      <c r="P28" s="77">
        <v>1</v>
      </c>
      <c r="Q28" s="77">
        <v>13</v>
      </c>
      <c r="R28" s="78">
        <v>14</v>
      </c>
      <c r="S28" s="92"/>
      <c r="T28" s="92"/>
      <c r="U28" s="92"/>
      <c r="AA28" s="96"/>
      <c r="AB28" s="96"/>
      <c r="AJ28" s="167"/>
      <c r="AK28" s="168"/>
      <c r="AL28" s="90"/>
      <c r="AM28" s="167"/>
      <c r="AN28" s="168"/>
      <c r="AO28" s="90"/>
    </row>
    <row r="29" spans="1:41" x14ac:dyDescent="0.25">
      <c r="A29" s="76" t="s">
        <v>144</v>
      </c>
      <c r="B29" s="77">
        <v>1</v>
      </c>
      <c r="C29" s="77">
        <v>21</v>
      </c>
      <c r="D29" s="78">
        <v>16</v>
      </c>
      <c r="E29" s="92"/>
      <c r="F29" s="92"/>
      <c r="G29" s="96"/>
      <c r="H29" s="76" t="s">
        <v>145</v>
      </c>
      <c r="I29" s="77">
        <v>1</v>
      </c>
      <c r="J29" s="77">
        <v>10</v>
      </c>
      <c r="K29" s="78">
        <v>21</v>
      </c>
      <c r="L29" s="92"/>
      <c r="M29" s="92"/>
      <c r="O29" s="1"/>
      <c r="P29" s="92">
        <v>2</v>
      </c>
      <c r="Q29" s="92">
        <v>7</v>
      </c>
      <c r="R29" s="2">
        <v>16</v>
      </c>
      <c r="S29" s="92"/>
      <c r="T29" s="92"/>
      <c r="U29" s="92"/>
      <c r="AA29" s="96"/>
      <c r="AB29" s="96"/>
      <c r="AJ29" s="167"/>
      <c r="AK29" s="168"/>
      <c r="AL29" s="90"/>
      <c r="AM29" s="167"/>
      <c r="AN29" s="168"/>
      <c r="AO29" s="90"/>
    </row>
    <row r="30" spans="1:41" x14ac:dyDescent="0.25">
      <c r="A30" s="1"/>
      <c r="B30" s="92">
        <v>2</v>
      </c>
      <c r="C30" s="92">
        <v>28</v>
      </c>
      <c r="D30" s="2">
        <v>29</v>
      </c>
      <c r="E30" s="92"/>
      <c r="F30" s="92"/>
      <c r="G30" s="96"/>
      <c r="H30" s="1"/>
      <c r="I30" s="92">
        <v>2</v>
      </c>
      <c r="J30" s="92">
        <v>13</v>
      </c>
      <c r="K30" s="2">
        <v>21</v>
      </c>
      <c r="L30" s="92"/>
      <c r="M30" s="92"/>
      <c r="O30" s="82"/>
      <c r="P30" s="15">
        <v>3</v>
      </c>
      <c r="Q30" s="15">
        <v>25</v>
      </c>
      <c r="R30" s="16">
        <v>10</v>
      </c>
      <c r="S30" s="92"/>
      <c r="T30" s="92"/>
      <c r="U30" s="92"/>
      <c r="AA30" s="96"/>
      <c r="AB30" s="96"/>
      <c r="AJ30" s="167"/>
      <c r="AK30" s="168"/>
      <c r="AL30" s="90"/>
      <c r="AM30" s="167"/>
      <c r="AN30" s="168"/>
      <c r="AO30" s="90"/>
    </row>
    <row r="31" spans="1:41" x14ac:dyDescent="0.25">
      <c r="A31" s="82"/>
      <c r="B31" s="15">
        <v>3</v>
      </c>
      <c r="C31" s="15">
        <v>27</v>
      </c>
      <c r="D31" s="16">
        <v>10</v>
      </c>
      <c r="E31" s="92"/>
      <c r="F31" s="92"/>
      <c r="G31" s="96"/>
      <c r="H31" s="82"/>
      <c r="I31" s="15">
        <v>3</v>
      </c>
      <c r="J31" s="15">
        <v>15</v>
      </c>
      <c r="K31" s="16">
        <v>25</v>
      </c>
      <c r="L31" s="92"/>
      <c r="M31" s="92"/>
      <c r="O31" s="76" t="s">
        <v>148</v>
      </c>
      <c r="P31" s="77">
        <v>1</v>
      </c>
      <c r="Q31" s="77">
        <v>6</v>
      </c>
      <c r="R31" s="78">
        <v>18</v>
      </c>
      <c r="S31" s="92"/>
      <c r="T31" s="92"/>
      <c r="U31" s="92"/>
      <c r="AA31" s="96"/>
      <c r="AB31" s="96"/>
      <c r="AJ31" s="167"/>
      <c r="AK31" s="168"/>
      <c r="AL31" s="90"/>
      <c r="AM31" s="167"/>
      <c r="AN31" s="168"/>
      <c r="AO31" s="90"/>
    </row>
    <row r="32" spans="1:41" x14ac:dyDescent="0.25">
      <c r="H32" s="76" t="s">
        <v>147</v>
      </c>
      <c r="I32" s="77">
        <v>1</v>
      </c>
      <c r="J32" s="77">
        <v>15</v>
      </c>
      <c r="K32" s="78">
        <v>15</v>
      </c>
      <c r="L32" s="92"/>
      <c r="M32" s="92"/>
      <c r="O32" s="1"/>
      <c r="P32" s="92">
        <v>2</v>
      </c>
      <c r="Q32" s="92">
        <v>9</v>
      </c>
      <c r="R32" s="2">
        <v>12</v>
      </c>
      <c r="S32" s="92"/>
      <c r="T32" s="92"/>
      <c r="U32" s="92"/>
      <c r="AA32" s="96"/>
      <c r="AB32" s="96"/>
      <c r="AJ32" s="167"/>
      <c r="AK32" s="168"/>
      <c r="AL32" s="90"/>
      <c r="AM32" s="167"/>
      <c r="AN32" s="168"/>
      <c r="AO32" s="90"/>
    </row>
    <row r="33" spans="8:41" x14ac:dyDescent="0.25">
      <c r="H33" s="1"/>
      <c r="I33" s="92">
        <v>2</v>
      </c>
      <c r="J33" s="92">
        <v>19</v>
      </c>
      <c r="K33" s="2">
        <v>14</v>
      </c>
      <c r="L33" s="92"/>
      <c r="M33" s="92"/>
      <c r="O33" s="82"/>
      <c r="P33" s="15">
        <v>3</v>
      </c>
      <c r="Q33" s="15">
        <v>7</v>
      </c>
      <c r="R33" s="16">
        <v>11</v>
      </c>
      <c r="S33" s="92"/>
      <c r="T33" s="92"/>
      <c r="U33" s="92"/>
      <c r="AA33" s="96"/>
      <c r="AB33" s="96"/>
      <c r="AJ33" s="167"/>
      <c r="AK33" s="168"/>
      <c r="AL33" s="90"/>
      <c r="AM33" s="167"/>
      <c r="AN33" s="168"/>
      <c r="AO33" s="90"/>
    </row>
    <row r="34" spans="8:41" x14ac:dyDescent="0.25">
      <c r="H34" s="82"/>
      <c r="I34" s="15">
        <v>3</v>
      </c>
      <c r="J34" s="15">
        <v>15</v>
      </c>
      <c r="K34" s="16">
        <v>16</v>
      </c>
      <c r="L34" s="92"/>
      <c r="M34" s="92"/>
      <c r="T34" s="92"/>
      <c r="U34" s="92"/>
      <c r="AA34" s="96"/>
      <c r="AB34" s="96"/>
      <c r="AJ34" s="167"/>
      <c r="AK34" s="168"/>
      <c r="AL34" s="90"/>
      <c r="AM34" s="167"/>
      <c r="AN34" s="168"/>
      <c r="AO34" s="90"/>
    </row>
    <row r="35" spans="8:41" x14ac:dyDescent="0.25">
      <c r="H35" s="76" t="s">
        <v>149</v>
      </c>
      <c r="I35" s="77">
        <v>1</v>
      </c>
      <c r="J35" s="77">
        <v>9</v>
      </c>
      <c r="K35" s="78">
        <v>14</v>
      </c>
      <c r="L35" s="92"/>
      <c r="M35" s="92"/>
      <c r="Q35" s="96"/>
      <c r="R35" s="96"/>
      <c r="S35" s="92"/>
      <c r="T35" s="92"/>
      <c r="U35" s="92"/>
      <c r="AA35" s="96"/>
      <c r="AB35" s="96"/>
      <c r="AJ35" s="167"/>
      <c r="AK35" s="168"/>
      <c r="AL35" s="90"/>
      <c r="AM35" s="167"/>
      <c r="AN35" s="168"/>
      <c r="AO35" s="90"/>
    </row>
    <row r="36" spans="8:41" x14ac:dyDescent="0.25">
      <c r="H36" s="1"/>
      <c r="I36" s="92">
        <v>2</v>
      </c>
      <c r="J36" s="92">
        <v>8</v>
      </c>
      <c r="K36" s="2">
        <v>9</v>
      </c>
      <c r="L36" s="92"/>
      <c r="M36" s="92"/>
      <c r="Q36" s="96"/>
      <c r="R36" s="96"/>
      <c r="AJ36" s="167"/>
      <c r="AK36" s="168"/>
      <c r="AL36" s="90"/>
      <c r="AM36" s="167"/>
      <c r="AN36" s="168"/>
      <c r="AO36" s="90"/>
    </row>
    <row r="37" spans="8:41" x14ac:dyDescent="0.25">
      <c r="H37" s="82"/>
      <c r="I37" s="15">
        <v>3</v>
      </c>
      <c r="J37" s="15">
        <v>10</v>
      </c>
      <c r="K37" s="16">
        <v>12</v>
      </c>
      <c r="L37" s="92"/>
      <c r="M37" s="92"/>
      <c r="Q37" s="96"/>
      <c r="R37" s="96"/>
      <c r="AJ37" s="167"/>
      <c r="AK37" s="168"/>
      <c r="AL37" s="90"/>
      <c r="AM37" s="167"/>
      <c r="AN37" s="168"/>
      <c r="AO37" s="90"/>
    </row>
    <row r="38" spans="8:41" x14ac:dyDescent="0.25">
      <c r="L38" s="92"/>
      <c r="M38" s="92"/>
      <c r="Q38" s="96"/>
      <c r="R38" s="96"/>
      <c r="AJ38" s="167"/>
      <c r="AK38" s="168"/>
      <c r="AL38" s="90"/>
      <c r="AM38" s="167"/>
      <c r="AN38" s="168"/>
      <c r="AO38" s="90"/>
    </row>
    <row r="39" spans="8:41" x14ac:dyDescent="0.25">
      <c r="AJ39" s="167"/>
      <c r="AK39" s="168"/>
      <c r="AL39" s="90"/>
      <c r="AM39" s="167"/>
      <c r="AN39" s="168"/>
      <c r="AO39" s="90"/>
    </row>
    <row r="40" spans="8:41" x14ac:dyDescent="0.25">
      <c r="AJ40" s="167"/>
      <c r="AK40" s="168"/>
      <c r="AL40" s="90"/>
      <c r="AM40" s="167"/>
      <c r="AN40" s="168"/>
      <c r="AO40" s="90"/>
    </row>
    <row r="41" spans="8:41" x14ac:dyDescent="0.25">
      <c r="AJ41" s="167"/>
      <c r="AK41" s="168"/>
      <c r="AL41" s="90"/>
      <c r="AM41" s="167"/>
      <c r="AN41" s="168"/>
      <c r="AO41" s="90"/>
    </row>
    <row r="42" spans="8:41" x14ac:dyDescent="0.25">
      <c r="AJ42" s="167"/>
      <c r="AK42" s="168"/>
      <c r="AL42" s="90"/>
      <c r="AM42" s="167"/>
      <c r="AN42" s="168"/>
      <c r="AO42" s="90"/>
    </row>
    <row r="43" spans="8:41" x14ac:dyDescent="0.25">
      <c r="AJ43" s="90"/>
      <c r="AK43" s="90"/>
      <c r="AL43" s="90"/>
      <c r="AM43" s="167"/>
      <c r="AN43" s="168"/>
      <c r="AO43" s="90"/>
    </row>
    <row r="44" spans="8:41" x14ac:dyDescent="0.25">
      <c r="AJ44" s="90"/>
      <c r="AK44" s="90"/>
      <c r="AL44" s="90"/>
      <c r="AM44" s="167"/>
      <c r="AN44" s="168"/>
      <c r="AO44" s="90"/>
    </row>
    <row r="45" spans="8:41" x14ac:dyDescent="0.25">
      <c r="AJ45" s="90"/>
      <c r="AK45" s="90"/>
      <c r="AL45" s="90"/>
      <c r="AM45" s="167"/>
      <c r="AN45" s="168"/>
      <c r="AO45" s="90"/>
    </row>
    <row r="46" spans="8:41" x14ac:dyDescent="0.25">
      <c r="AJ46" s="90"/>
      <c r="AK46" s="90"/>
      <c r="AL46" s="90"/>
      <c r="AM46" s="167"/>
      <c r="AN46" s="168"/>
      <c r="AO46" s="90"/>
    </row>
    <row r="47" spans="8:41" x14ac:dyDescent="0.25">
      <c r="AJ47" s="90"/>
      <c r="AK47" s="90"/>
      <c r="AL47" s="90"/>
      <c r="AM47" s="167"/>
      <c r="AN47" s="168"/>
      <c r="AO47" s="90"/>
    </row>
    <row r="48" spans="8:41" x14ac:dyDescent="0.25">
      <c r="AJ48" s="90"/>
      <c r="AK48" s="90"/>
      <c r="AL48" s="90"/>
      <c r="AM48" s="167"/>
      <c r="AN48" s="168"/>
      <c r="AO48" s="90"/>
    </row>
    <row r="49" spans="36:41" x14ac:dyDescent="0.25">
      <c r="AJ49" s="90"/>
      <c r="AK49" s="90"/>
      <c r="AL49" s="90"/>
      <c r="AM49" s="90"/>
      <c r="AN49" s="90"/>
      <c r="AO49" s="90"/>
    </row>
  </sheetData>
  <mergeCells count="5">
    <mergeCell ref="O2:R2"/>
    <mergeCell ref="J3:K3"/>
    <mergeCell ref="H2:K2"/>
    <mergeCell ref="C3:D3"/>
    <mergeCell ref="A2: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8432-0EFB-4FDE-A2AE-85C5089A7F86}">
  <dimension ref="B1:AJ141"/>
  <sheetViews>
    <sheetView topLeftCell="A16" zoomScale="55" zoomScaleNormal="33" workbookViewId="0">
      <selection activeCell="AC2" sqref="AC2"/>
    </sheetView>
  </sheetViews>
  <sheetFormatPr defaultRowHeight="15" x14ac:dyDescent="0.25"/>
  <cols>
    <col min="4" max="4" width="10.140625" customWidth="1"/>
    <col min="5" max="5" width="10.7109375" customWidth="1"/>
    <col min="9" max="9" width="21.42578125" customWidth="1"/>
    <col min="10" max="10" width="21.5703125" customWidth="1"/>
    <col min="28" max="28" width="13.140625" customWidth="1"/>
  </cols>
  <sheetData>
    <row r="1" spans="2:35" x14ac:dyDescent="0.25">
      <c r="B1" s="315" t="s">
        <v>150</v>
      </c>
      <c r="C1" s="315"/>
      <c r="D1" s="315"/>
      <c r="E1" s="315"/>
      <c r="G1" s="285" t="s">
        <v>281</v>
      </c>
      <c r="H1" s="285"/>
      <c r="I1" s="285"/>
      <c r="J1" s="285"/>
      <c r="L1" s="96"/>
      <c r="M1" s="96"/>
      <c r="N1" s="96"/>
      <c r="O1" s="96"/>
      <c r="P1" s="96"/>
      <c r="U1" s="315" t="s">
        <v>150</v>
      </c>
      <c r="V1" s="315"/>
      <c r="W1" s="315"/>
      <c r="X1" s="315"/>
      <c r="Z1" s="316" t="s">
        <v>151</v>
      </c>
      <c r="AA1" s="316"/>
      <c r="AB1" s="316"/>
      <c r="AC1" s="316"/>
      <c r="AD1" s="96"/>
      <c r="AE1" s="96"/>
      <c r="AF1" s="96"/>
      <c r="AG1" s="96"/>
      <c r="AH1" s="96"/>
      <c r="AI1" s="96"/>
    </row>
    <row r="2" spans="2:35" x14ac:dyDescent="0.25">
      <c r="B2" s="5"/>
      <c r="C2" s="5" t="s">
        <v>152</v>
      </c>
      <c r="D2" s="5" t="s">
        <v>153</v>
      </c>
      <c r="E2" s="5" t="s">
        <v>280</v>
      </c>
      <c r="H2" s="5" t="s">
        <v>152</v>
      </c>
      <c r="I2" s="5" t="s">
        <v>153</v>
      </c>
      <c r="J2" s="5" t="s">
        <v>280</v>
      </c>
      <c r="L2" s="96"/>
      <c r="M2" s="96"/>
      <c r="N2" s="96"/>
      <c r="O2" s="96"/>
      <c r="P2" s="96"/>
      <c r="U2" s="5"/>
      <c r="V2" s="5" t="s">
        <v>152</v>
      </c>
      <c r="W2" s="5" t="s">
        <v>153</v>
      </c>
      <c r="X2" s="5" t="s">
        <v>280</v>
      </c>
      <c r="Z2" s="5" t="s">
        <v>154</v>
      </c>
      <c r="AA2" s="5" t="s">
        <v>152</v>
      </c>
      <c r="AB2" s="5" t="s">
        <v>153</v>
      </c>
      <c r="AC2" s="5" t="s">
        <v>280</v>
      </c>
      <c r="AD2" s="96"/>
      <c r="AE2" s="96"/>
      <c r="AF2" s="96"/>
      <c r="AG2" s="96"/>
      <c r="AH2" s="96"/>
      <c r="AI2" s="96"/>
    </row>
    <row r="3" spans="2:35" x14ac:dyDescent="0.25">
      <c r="B3" s="89" t="s">
        <v>91</v>
      </c>
      <c r="C3" s="89">
        <v>20.602231979370117</v>
      </c>
      <c r="D3" s="89">
        <v>18.690849304199219</v>
      </c>
      <c r="E3" s="89">
        <f>AVERAGE(C3:D3)</f>
        <v>19.646540641784668</v>
      </c>
      <c r="F3" s="90"/>
      <c r="G3" s="89" t="s">
        <v>91</v>
      </c>
      <c r="H3" s="84">
        <v>29.021554946899414</v>
      </c>
      <c r="I3" s="89">
        <v>28.6207275390625</v>
      </c>
      <c r="J3" s="89">
        <f t="shared" ref="J3:J8" si="0">AVERAGE(H3:I3)</f>
        <v>28.821141242980957</v>
      </c>
      <c r="K3" s="90"/>
      <c r="L3" s="83"/>
      <c r="M3" s="83"/>
      <c r="N3" s="83"/>
      <c r="O3" s="83"/>
      <c r="P3" s="96"/>
      <c r="R3" s="84"/>
      <c r="U3" s="89" t="s">
        <v>91</v>
      </c>
      <c r="V3" s="89">
        <v>20.602231979370117</v>
      </c>
      <c r="W3" s="89">
        <v>18.690849304199219</v>
      </c>
      <c r="X3" s="89">
        <f>AVERAGE(V3:W3)</f>
        <v>19.646540641784668</v>
      </c>
      <c r="Y3" s="90"/>
      <c r="Z3" s="89" t="s">
        <v>91</v>
      </c>
      <c r="AA3" s="89">
        <v>24.020975112915039</v>
      </c>
      <c r="AB3" s="89">
        <v>24.591039657592773</v>
      </c>
      <c r="AC3" s="89">
        <f>AVERAGE(AA3:AB3)</f>
        <v>24.306007385253906</v>
      </c>
      <c r="AD3" s="96"/>
      <c r="AE3" s="120"/>
      <c r="AF3" s="165"/>
      <c r="AG3" s="83"/>
      <c r="AH3" s="83"/>
      <c r="AI3" s="96"/>
    </row>
    <row r="4" spans="2:35" x14ac:dyDescent="0.25">
      <c r="B4" s="89" t="s">
        <v>155</v>
      </c>
      <c r="C4" s="89">
        <v>16.336559295654297</v>
      </c>
      <c r="D4" s="89">
        <v>16.334695816040039</v>
      </c>
      <c r="E4" s="89">
        <f t="shared" ref="E4:E8" si="1">AVERAGE(C4:D4)</f>
        <v>16.335627555847168</v>
      </c>
      <c r="F4" s="90"/>
      <c r="G4" s="89" t="s">
        <v>155</v>
      </c>
      <c r="H4" s="84">
        <v>24.965057373046875</v>
      </c>
      <c r="I4" s="89">
        <v>25.145650863647461</v>
      </c>
      <c r="J4" s="89">
        <f t="shared" si="0"/>
        <v>25.055354118347168</v>
      </c>
      <c r="K4" s="90"/>
      <c r="L4" s="83"/>
      <c r="M4" s="83"/>
      <c r="N4" s="83"/>
      <c r="O4" s="83"/>
      <c r="P4" s="96"/>
      <c r="R4" s="84"/>
      <c r="U4" s="89" t="s">
        <v>155</v>
      </c>
      <c r="V4" s="89">
        <v>16.336559295654297</v>
      </c>
      <c r="W4" s="89">
        <v>16.334695816040039</v>
      </c>
      <c r="X4" s="89">
        <f t="shared" ref="X4:X8" si="2">AVERAGE(V4:W4)</f>
        <v>16.335627555847168</v>
      </c>
      <c r="Y4" s="90"/>
      <c r="Z4" s="89" t="s">
        <v>155</v>
      </c>
      <c r="AA4" s="89">
        <v>21.4471435546875</v>
      </c>
      <c r="AB4" s="89">
        <v>21.576778411865234</v>
      </c>
      <c r="AC4" s="89">
        <f t="shared" ref="AC4:AC8" si="3">AVERAGE(AA4:AB4)</f>
        <v>21.511960983276367</v>
      </c>
      <c r="AD4" s="96"/>
      <c r="AE4" s="83"/>
      <c r="AF4" s="165"/>
      <c r="AG4" s="83"/>
      <c r="AH4" s="96"/>
      <c r="AI4" s="96"/>
    </row>
    <row r="5" spans="2:35" x14ac:dyDescent="0.25">
      <c r="B5" s="89" t="s">
        <v>156</v>
      </c>
      <c r="C5" s="89">
        <v>21.938972473144531</v>
      </c>
      <c r="D5" s="89">
        <v>21.883079528808594</v>
      </c>
      <c r="E5" s="89">
        <f t="shared" si="1"/>
        <v>21.911026000976563</v>
      </c>
      <c r="F5" s="90"/>
      <c r="G5" s="89" t="s">
        <v>156</v>
      </c>
      <c r="H5" s="84">
        <v>31.202302932739258</v>
      </c>
      <c r="I5" s="89">
        <v>31.733392715454102</v>
      </c>
      <c r="J5" s="89">
        <f t="shared" si="0"/>
        <v>31.46784782409668</v>
      </c>
      <c r="K5" s="90"/>
      <c r="L5" s="83"/>
      <c r="M5" s="83"/>
      <c r="N5" s="83"/>
      <c r="O5" s="83"/>
      <c r="P5" s="96"/>
      <c r="R5" s="84"/>
      <c r="U5" s="89" t="s">
        <v>156</v>
      </c>
      <c r="V5" s="89">
        <v>21.938972473144531</v>
      </c>
      <c r="W5" s="89">
        <v>21.883079528808594</v>
      </c>
      <c r="X5" s="89">
        <f t="shared" si="2"/>
        <v>21.911026000976563</v>
      </c>
      <c r="Y5" s="90"/>
      <c r="Z5" s="89" t="s">
        <v>156</v>
      </c>
      <c r="AA5" s="89">
        <v>26.958341598510742</v>
      </c>
      <c r="AB5" s="89">
        <v>26.736837387084961</v>
      </c>
      <c r="AC5" s="89">
        <f t="shared" si="3"/>
        <v>26.847589492797852</v>
      </c>
      <c r="AD5" s="96"/>
      <c r="AE5" s="83"/>
      <c r="AF5" s="165"/>
      <c r="AG5" s="83"/>
      <c r="AH5" s="96"/>
      <c r="AI5" s="96"/>
    </row>
    <row r="6" spans="2:35" x14ac:dyDescent="0.25">
      <c r="B6" s="89" t="s">
        <v>157</v>
      </c>
      <c r="C6" s="89">
        <v>19.870767593383789</v>
      </c>
      <c r="D6" s="89">
        <v>19.68726921081543</v>
      </c>
      <c r="E6" s="89">
        <f t="shared" si="1"/>
        <v>19.779018402099609</v>
      </c>
      <c r="F6" s="90"/>
      <c r="G6" s="89" t="s">
        <v>157</v>
      </c>
      <c r="H6" s="84">
        <v>26.486061096191406</v>
      </c>
      <c r="I6" s="89">
        <v>25.934415817260742</v>
      </c>
      <c r="J6" s="89">
        <f t="shared" si="0"/>
        <v>26.210238456726074</v>
      </c>
      <c r="K6" s="90"/>
      <c r="L6" s="210"/>
      <c r="M6" s="83"/>
      <c r="N6" s="83"/>
      <c r="O6" s="83"/>
      <c r="P6" s="96"/>
      <c r="R6" s="84"/>
      <c r="U6" s="89" t="s">
        <v>157</v>
      </c>
      <c r="V6" s="89">
        <v>19.870767593383789</v>
      </c>
      <c r="W6" s="89">
        <v>19.68726921081543</v>
      </c>
      <c r="X6" s="89">
        <f t="shared" si="2"/>
        <v>19.779018402099609</v>
      </c>
      <c r="Y6" s="90"/>
      <c r="Z6" s="89" t="s">
        <v>157</v>
      </c>
      <c r="AA6" s="89">
        <v>25.235921859741211</v>
      </c>
      <c r="AB6" s="89">
        <v>24.943147659301758</v>
      </c>
      <c r="AC6" s="89">
        <f t="shared" si="3"/>
        <v>25.089534759521484</v>
      </c>
      <c r="AD6" s="96"/>
      <c r="AE6" s="83"/>
      <c r="AF6" s="165"/>
      <c r="AG6" s="83"/>
      <c r="AH6" s="96"/>
      <c r="AI6" s="96"/>
    </row>
    <row r="7" spans="2:35" x14ac:dyDescent="0.25">
      <c r="B7" s="89" t="s">
        <v>158</v>
      </c>
      <c r="C7" s="89">
        <v>16.862094879150391</v>
      </c>
      <c r="D7" s="89">
        <v>16.688953399658203</v>
      </c>
      <c r="E7" s="89">
        <f t="shared" si="1"/>
        <v>16.775524139404297</v>
      </c>
      <c r="F7" s="90"/>
      <c r="G7" s="89" t="s">
        <v>158</v>
      </c>
      <c r="H7" s="84">
        <v>28.430305480957031</v>
      </c>
      <c r="I7" s="89">
        <v>28.356258392333984</v>
      </c>
      <c r="J7" s="89">
        <f t="shared" si="0"/>
        <v>28.393281936645508</v>
      </c>
      <c r="K7" s="90"/>
      <c r="L7" s="210"/>
      <c r="M7" s="83"/>
      <c r="N7" s="83"/>
      <c r="O7" s="83"/>
      <c r="P7" s="96"/>
      <c r="R7" s="84"/>
      <c r="U7" s="89" t="s">
        <v>158</v>
      </c>
      <c r="V7" s="89">
        <v>16.862094879150391</v>
      </c>
      <c r="W7" s="89">
        <v>16.688953399658203</v>
      </c>
      <c r="X7" s="89">
        <f t="shared" si="2"/>
        <v>16.775524139404297</v>
      </c>
      <c r="Y7" s="90"/>
      <c r="Z7" s="89" t="s">
        <v>158</v>
      </c>
      <c r="AA7" s="89">
        <v>22.961126327514648</v>
      </c>
      <c r="AB7" s="89">
        <v>23.407934188842773</v>
      </c>
      <c r="AC7" s="89">
        <f t="shared" si="3"/>
        <v>23.184530258178711</v>
      </c>
      <c r="AD7" s="96"/>
      <c r="AE7" s="210"/>
      <c r="AF7" s="165"/>
      <c r="AG7" s="210"/>
      <c r="AH7" s="96"/>
      <c r="AI7" s="96"/>
    </row>
    <row r="8" spans="2:35" x14ac:dyDescent="0.25">
      <c r="B8" s="89" t="s">
        <v>159</v>
      </c>
      <c r="C8" s="89">
        <v>17.036384582519531</v>
      </c>
      <c r="D8" s="89">
        <v>16.996807098388672</v>
      </c>
      <c r="E8" s="89">
        <f t="shared" si="1"/>
        <v>17.016595840454102</v>
      </c>
      <c r="F8" s="90"/>
      <c r="G8" s="89" t="s">
        <v>159</v>
      </c>
      <c r="H8" s="84">
        <v>27.02366828918457</v>
      </c>
      <c r="I8" s="89">
        <v>26.956771850585938</v>
      </c>
      <c r="J8" s="89">
        <f t="shared" si="0"/>
        <v>26.990220069885254</v>
      </c>
      <c r="K8" s="90"/>
      <c r="L8" s="83"/>
      <c r="M8" s="83"/>
      <c r="N8" s="83"/>
      <c r="O8" s="83"/>
      <c r="P8" s="96"/>
      <c r="R8" s="84"/>
      <c r="U8" s="89" t="s">
        <v>159</v>
      </c>
      <c r="V8" s="89">
        <v>17.036384582519531</v>
      </c>
      <c r="W8" s="89">
        <v>16.996807098388672</v>
      </c>
      <c r="X8" s="89">
        <f t="shared" si="2"/>
        <v>17.016595840454102</v>
      </c>
      <c r="Y8" s="90"/>
      <c r="Z8" s="89" t="s">
        <v>159</v>
      </c>
      <c r="AA8" s="89">
        <v>22.302822113037109</v>
      </c>
      <c r="AB8" s="89">
        <v>22.216684341430664</v>
      </c>
      <c r="AC8" s="89">
        <f t="shared" si="3"/>
        <v>22.259753227233887</v>
      </c>
      <c r="AD8" s="96"/>
      <c r="AE8" s="83"/>
      <c r="AF8" s="165"/>
      <c r="AG8" s="83"/>
      <c r="AH8" s="96"/>
      <c r="AI8" s="96"/>
    </row>
    <row r="9" spans="2:35" x14ac:dyDescent="0.25">
      <c r="B9" s="89" t="s">
        <v>160</v>
      </c>
      <c r="C9" s="89">
        <v>19.166769027709961</v>
      </c>
      <c r="D9" s="89">
        <v>18.774328231811523</v>
      </c>
      <c r="E9" s="89">
        <f>AVERAGE(C9:D9)</f>
        <v>18.970548629760742</v>
      </c>
      <c r="F9" s="89"/>
      <c r="G9" s="89" t="s">
        <v>160</v>
      </c>
      <c r="H9" s="89">
        <v>28.853286743164063</v>
      </c>
      <c r="I9" s="89">
        <v>28.958122253417969</v>
      </c>
      <c r="J9" s="89">
        <f>AVERAGE(H9:I9)</f>
        <v>28.905704498291016</v>
      </c>
      <c r="K9" s="90"/>
      <c r="L9" s="83"/>
      <c r="M9" s="83"/>
      <c r="N9" s="83"/>
      <c r="O9" s="83"/>
      <c r="P9" s="96"/>
      <c r="R9" s="84"/>
      <c r="U9" s="89" t="s">
        <v>160</v>
      </c>
      <c r="V9" s="89">
        <v>19.166769027709961</v>
      </c>
      <c r="W9" s="89">
        <v>18.774328231811523</v>
      </c>
      <c r="X9" s="89">
        <f>AVERAGE(V9:W9)</f>
        <v>18.970548629760742</v>
      </c>
      <c r="Y9" s="89"/>
      <c r="Z9" s="89" t="s">
        <v>160</v>
      </c>
      <c r="AA9" s="89">
        <v>24.570688247680664</v>
      </c>
      <c r="AB9" s="89">
        <v>22.961355209350586</v>
      </c>
      <c r="AC9" s="89">
        <f>AVERAGE(AA9:AB9)</f>
        <v>23.766021728515625</v>
      </c>
      <c r="AD9" s="96"/>
      <c r="AE9" s="83"/>
      <c r="AF9" s="165"/>
      <c r="AG9" s="83"/>
      <c r="AH9" s="96"/>
      <c r="AI9" s="96"/>
    </row>
    <row r="10" spans="2:35" x14ac:dyDescent="0.25">
      <c r="B10" s="89" t="s">
        <v>161</v>
      </c>
      <c r="C10" s="89" t="s">
        <v>162</v>
      </c>
      <c r="D10" s="89">
        <v>18.487489700317383</v>
      </c>
      <c r="E10" s="89">
        <f t="shared" ref="E10:E13" si="4">AVERAGE(C10:D10)</f>
        <v>18.487489700317383</v>
      </c>
      <c r="F10" s="89"/>
      <c r="G10" s="89" t="s">
        <v>161</v>
      </c>
      <c r="H10" s="89">
        <v>28.929374694824219</v>
      </c>
      <c r="I10" s="89">
        <v>27.633211135864258</v>
      </c>
      <c r="J10" s="89">
        <f t="shared" ref="J10:J13" si="5">AVERAGE(H10:I10)</f>
        <v>28.281292915344238</v>
      </c>
      <c r="K10" s="90"/>
      <c r="L10" s="83"/>
      <c r="M10" s="83"/>
      <c r="N10" s="83"/>
      <c r="O10" s="83"/>
      <c r="P10" s="96"/>
      <c r="R10" s="84"/>
      <c r="U10" s="89" t="s">
        <v>161</v>
      </c>
      <c r="V10" s="89" t="s">
        <v>162</v>
      </c>
      <c r="W10" s="89">
        <v>18.487489700317383</v>
      </c>
      <c r="X10" s="89">
        <f t="shared" ref="X10:X13" si="6">AVERAGE(V10:W10)</f>
        <v>18.487489700317383</v>
      </c>
      <c r="Y10" s="89"/>
      <c r="Z10" s="89" t="s">
        <v>161</v>
      </c>
      <c r="AA10" s="89">
        <v>23.514795303344727</v>
      </c>
      <c r="AB10" s="89">
        <v>23.325811386108398</v>
      </c>
      <c r="AC10" s="89">
        <f>AVERAGE(AA10:AB10)</f>
        <v>23.420303344726563</v>
      </c>
      <c r="AD10" s="96"/>
      <c r="AE10" s="83"/>
      <c r="AF10" s="165"/>
      <c r="AG10" s="83"/>
      <c r="AH10" s="96"/>
      <c r="AI10" s="96"/>
    </row>
    <row r="11" spans="2:35" x14ac:dyDescent="0.25">
      <c r="B11" s="89" t="s">
        <v>163</v>
      </c>
      <c r="C11" s="89">
        <v>16.648506164550781</v>
      </c>
      <c r="D11" s="89">
        <v>17.425228118896484</v>
      </c>
      <c r="E11" s="89">
        <f t="shared" si="4"/>
        <v>17.036867141723633</v>
      </c>
      <c r="F11" s="89"/>
      <c r="G11" s="89" t="s">
        <v>163</v>
      </c>
      <c r="H11" s="89">
        <v>24.279298782348633</v>
      </c>
      <c r="I11" s="89">
        <v>24.792713165283203</v>
      </c>
      <c r="J11" s="89">
        <f t="shared" si="5"/>
        <v>24.536005973815918</v>
      </c>
      <c r="K11" s="90"/>
      <c r="L11" s="210"/>
      <c r="M11" s="83"/>
      <c r="N11" s="83"/>
      <c r="O11" s="83"/>
      <c r="P11" s="96"/>
      <c r="U11" s="89" t="s">
        <v>163</v>
      </c>
      <c r="V11" s="89">
        <v>16.648506164550781</v>
      </c>
      <c r="W11" s="89">
        <v>17.425228118896484</v>
      </c>
      <c r="X11" s="89">
        <f t="shared" si="6"/>
        <v>17.036867141723633</v>
      </c>
      <c r="Y11" s="89"/>
      <c r="Z11" s="89" t="s">
        <v>163</v>
      </c>
      <c r="AA11" s="89">
        <v>22.552474975585938</v>
      </c>
      <c r="AB11" s="89">
        <v>21.334508895874023</v>
      </c>
      <c r="AC11" s="89">
        <f>AVERAGE(AA11:AB11)</f>
        <v>21.94349193572998</v>
      </c>
      <c r="AD11" s="96"/>
      <c r="AE11" s="83"/>
      <c r="AF11" s="165"/>
      <c r="AG11" s="83"/>
      <c r="AH11" s="96"/>
      <c r="AI11" s="96"/>
    </row>
    <row r="12" spans="2:35" x14ac:dyDescent="0.25">
      <c r="B12" s="89" t="s">
        <v>164</v>
      </c>
      <c r="C12" s="89">
        <v>17.209558486938477</v>
      </c>
      <c r="D12" s="89">
        <v>18.236780166625977</v>
      </c>
      <c r="E12" s="89">
        <f t="shared" si="4"/>
        <v>17.723169326782227</v>
      </c>
      <c r="F12" s="89"/>
      <c r="G12" s="89" t="s">
        <v>164</v>
      </c>
      <c r="H12" s="89">
        <v>25.361244201660156</v>
      </c>
      <c r="I12" s="89">
        <v>27.318559646606445</v>
      </c>
      <c r="J12" s="89">
        <f t="shared" si="5"/>
        <v>26.339901924133301</v>
      </c>
      <c r="K12" s="90"/>
      <c r="L12" s="83"/>
      <c r="M12" s="83"/>
      <c r="N12" s="83"/>
      <c r="O12" s="83"/>
      <c r="P12" s="96"/>
      <c r="U12" s="89" t="s">
        <v>164</v>
      </c>
      <c r="V12" s="89">
        <v>17.209558486938477</v>
      </c>
      <c r="W12" s="89">
        <v>18.236780166625977</v>
      </c>
      <c r="X12" s="89">
        <f t="shared" si="6"/>
        <v>17.723169326782227</v>
      </c>
      <c r="Y12" s="89"/>
      <c r="Z12" s="89" t="s">
        <v>164</v>
      </c>
      <c r="AA12" s="89">
        <v>23.272722244262695</v>
      </c>
      <c r="AB12" s="89">
        <v>23.371301651000977</v>
      </c>
      <c r="AC12" s="89">
        <f>AVERAGE(AA12:AB12)</f>
        <v>23.322011947631836</v>
      </c>
      <c r="AD12" s="96"/>
      <c r="AE12" s="83"/>
      <c r="AF12" s="165"/>
      <c r="AG12" s="83"/>
      <c r="AH12" s="96"/>
      <c r="AI12" s="96"/>
    </row>
    <row r="13" spans="2:35" x14ac:dyDescent="0.25">
      <c r="B13" s="89" t="s">
        <v>165</v>
      </c>
      <c r="C13" s="89">
        <v>19.240564346313477</v>
      </c>
      <c r="D13" s="89">
        <v>18.62492561340332</v>
      </c>
      <c r="E13" s="89">
        <f t="shared" si="4"/>
        <v>18.932744979858398</v>
      </c>
      <c r="F13" s="89"/>
      <c r="G13" s="89" t="s">
        <v>165</v>
      </c>
      <c r="H13" s="89">
        <v>28.515104293823242</v>
      </c>
      <c r="I13" s="89">
        <v>26.78203010559082</v>
      </c>
      <c r="J13" s="89">
        <f t="shared" si="5"/>
        <v>27.648567199707031</v>
      </c>
      <c r="K13" s="90"/>
      <c r="L13" s="83"/>
      <c r="M13" s="83"/>
      <c r="N13" s="83"/>
      <c r="O13" s="83"/>
      <c r="P13" s="96"/>
      <c r="U13" s="89" t="s">
        <v>165</v>
      </c>
      <c r="V13" s="89">
        <v>19.240564346313477</v>
      </c>
      <c r="W13" s="89">
        <v>18.62492561340332</v>
      </c>
      <c r="X13" s="89">
        <f t="shared" si="6"/>
        <v>18.932744979858398</v>
      </c>
      <c r="Y13" s="89"/>
      <c r="Z13" s="89" t="s">
        <v>165</v>
      </c>
      <c r="AA13" s="89">
        <v>23.516313552856445</v>
      </c>
      <c r="AB13" s="89">
        <v>24.080846786499023</v>
      </c>
      <c r="AC13" s="89">
        <f>AVERAGE(AA13:AB13)</f>
        <v>23.798580169677734</v>
      </c>
      <c r="AD13" s="96"/>
      <c r="AE13" s="83"/>
      <c r="AF13" s="165"/>
      <c r="AG13" s="83"/>
      <c r="AH13" s="96"/>
      <c r="AI13" s="96"/>
    </row>
    <row r="14" spans="2:35" x14ac:dyDescent="0.25"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83"/>
      <c r="M14" s="83"/>
      <c r="N14" s="83"/>
      <c r="O14" s="83"/>
      <c r="P14" s="96"/>
      <c r="U14" s="90"/>
      <c r="V14" s="90"/>
      <c r="W14" s="90"/>
      <c r="X14" s="90"/>
      <c r="Y14" s="90"/>
      <c r="Z14" s="90"/>
      <c r="AA14" s="90"/>
      <c r="AB14" s="90"/>
      <c r="AC14" s="90"/>
      <c r="AD14" s="96"/>
      <c r="AE14" s="83"/>
      <c r="AF14" s="165"/>
      <c r="AG14" s="96"/>
      <c r="AH14" s="96"/>
      <c r="AI14" s="96"/>
    </row>
    <row r="15" spans="2:35" x14ac:dyDescent="0.25"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83"/>
      <c r="M15" s="83"/>
      <c r="N15" s="83"/>
      <c r="O15" s="83"/>
      <c r="P15" s="96"/>
      <c r="U15" s="90"/>
      <c r="V15" s="90"/>
      <c r="W15" s="90"/>
      <c r="X15" s="90"/>
      <c r="Y15" s="90"/>
      <c r="Z15" s="90"/>
      <c r="AA15" s="90"/>
      <c r="AB15" s="90"/>
      <c r="AC15" s="90"/>
      <c r="AD15" s="96"/>
      <c r="AE15" s="83"/>
      <c r="AF15" s="165"/>
      <c r="AG15" s="96"/>
      <c r="AH15" s="96"/>
      <c r="AI15" s="96"/>
    </row>
    <row r="16" spans="2:35" x14ac:dyDescent="0.25">
      <c r="B16" s="89" t="s">
        <v>166</v>
      </c>
      <c r="C16" s="89">
        <v>17.888526916503906</v>
      </c>
      <c r="D16" s="89">
        <v>17.863409042358398</v>
      </c>
      <c r="E16" s="89">
        <f t="shared" ref="E16:E27" si="7">AVERAGE(C16:D16)</f>
        <v>17.875967979431152</v>
      </c>
      <c r="F16" s="90"/>
      <c r="G16" s="89" t="s">
        <v>166</v>
      </c>
      <c r="H16" s="84">
        <v>21.62199592590332</v>
      </c>
      <c r="I16" s="89">
        <v>20.989084243774414</v>
      </c>
      <c r="J16" s="89">
        <f t="shared" ref="J16:J21" si="8">AVERAGE(H16:I16)</f>
        <v>21.305540084838867</v>
      </c>
      <c r="K16" s="90"/>
      <c r="L16" s="83"/>
      <c r="M16" s="83"/>
      <c r="N16" s="83"/>
      <c r="O16" s="83"/>
      <c r="P16" s="96"/>
      <c r="U16" s="89" t="s">
        <v>166</v>
      </c>
      <c r="V16" s="89">
        <v>17.888526916503906</v>
      </c>
      <c r="W16" s="89">
        <v>17.863409042358398</v>
      </c>
      <c r="X16" s="89">
        <f t="shared" ref="X16:X27" si="9">AVERAGE(V16:W16)</f>
        <v>17.875967979431152</v>
      </c>
      <c r="Y16" s="90"/>
      <c r="Z16" s="89" t="s">
        <v>166</v>
      </c>
      <c r="AA16" s="89">
        <v>18.765893936157227</v>
      </c>
      <c r="AB16" s="89">
        <v>18.320255279541016</v>
      </c>
      <c r="AC16" s="89">
        <f t="shared" ref="AC16:AC27" si="10">AVERAGE(AA16:AB16)</f>
        <v>18.543074607849121</v>
      </c>
      <c r="AD16" s="96"/>
      <c r="AE16" s="120"/>
      <c r="AF16" s="165"/>
      <c r="AG16" s="210"/>
      <c r="AH16" s="83"/>
      <c r="AI16" s="96"/>
    </row>
    <row r="17" spans="2:35" x14ac:dyDescent="0.25">
      <c r="B17" s="89" t="s">
        <v>167</v>
      </c>
      <c r="C17" s="89">
        <v>20.756908416748047</v>
      </c>
      <c r="D17" s="89">
        <v>20.741792678833008</v>
      </c>
      <c r="E17" s="89">
        <f t="shared" si="7"/>
        <v>20.749350547790527</v>
      </c>
      <c r="F17" s="90"/>
      <c r="G17" s="89" t="s">
        <v>167</v>
      </c>
      <c r="H17" s="84">
        <v>28.095418930053711</v>
      </c>
      <c r="I17" s="89">
        <v>27.784259796142578</v>
      </c>
      <c r="J17" s="89">
        <f t="shared" si="8"/>
        <v>27.939839363098145</v>
      </c>
      <c r="K17" s="90"/>
      <c r="L17" s="210"/>
      <c r="M17" s="83"/>
      <c r="N17" s="120"/>
      <c r="O17" s="96"/>
      <c r="P17" s="96"/>
      <c r="U17" s="89" t="s">
        <v>167</v>
      </c>
      <c r="V17" s="89">
        <v>20.756908416748047</v>
      </c>
      <c r="W17" s="89">
        <v>20.741792678833008</v>
      </c>
      <c r="X17" s="89">
        <f t="shared" si="9"/>
        <v>20.749350547790527</v>
      </c>
      <c r="Y17" s="90"/>
      <c r="Z17" s="89" t="s">
        <v>167</v>
      </c>
      <c r="AA17" s="89">
        <v>24.890811920166016</v>
      </c>
      <c r="AB17" s="89">
        <v>24.62989616394043</v>
      </c>
      <c r="AC17" s="89">
        <f t="shared" si="10"/>
        <v>24.760354042053223</v>
      </c>
      <c r="AD17" s="96"/>
      <c r="AE17" s="120"/>
      <c r="AF17" s="165"/>
      <c r="AG17" s="120"/>
      <c r="AH17" s="96"/>
      <c r="AI17" s="96"/>
    </row>
    <row r="18" spans="2:35" x14ac:dyDescent="0.25">
      <c r="B18" s="89" t="s">
        <v>168</v>
      </c>
      <c r="C18" s="89">
        <v>17.237968444824219</v>
      </c>
      <c r="D18" s="89">
        <v>17.077312469482422</v>
      </c>
      <c r="E18" s="89">
        <f t="shared" si="7"/>
        <v>17.15764045715332</v>
      </c>
      <c r="F18" s="90"/>
      <c r="G18" s="89" t="s">
        <v>168</v>
      </c>
      <c r="H18" s="84">
        <v>24.904447555541992</v>
      </c>
      <c r="I18" s="89">
        <v>24.240777969360352</v>
      </c>
      <c r="J18" s="89">
        <f t="shared" si="8"/>
        <v>24.572612762451172</v>
      </c>
      <c r="K18" s="90"/>
      <c r="L18" s="210"/>
      <c r="M18" s="83"/>
      <c r="N18" s="120"/>
      <c r="O18" s="96"/>
      <c r="P18" s="96"/>
      <c r="U18" s="89" t="s">
        <v>168</v>
      </c>
      <c r="V18" s="89">
        <v>17.237968444824219</v>
      </c>
      <c r="W18" s="89">
        <v>17.077312469482422</v>
      </c>
      <c r="X18" s="89">
        <f t="shared" si="9"/>
        <v>17.15764045715332</v>
      </c>
      <c r="Y18" s="90"/>
      <c r="Z18" s="89" t="s">
        <v>168</v>
      </c>
      <c r="AA18" s="89">
        <v>20.237491607666016</v>
      </c>
      <c r="AB18" s="89">
        <v>20.25050163269043</v>
      </c>
      <c r="AC18" s="89">
        <f t="shared" si="10"/>
        <v>20.243996620178223</v>
      </c>
      <c r="AD18" s="96"/>
      <c r="AE18" s="120"/>
      <c r="AF18" s="165"/>
      <c r="AG18" s="120"/>
      <c r="AH18" s="96"/>
      <c r="AI18" s="96"/>
    </row>
    <row r="19" spans="2:35" x14ac:dyDescent="0.25">
      <c r="B19" s="89" t="s">
        <v>169</v>
      </c>
      <c r="C19" s="89">
        <v>16.736989974975586</v>
      </c>
      <c r="D19" s="89">
        <v>17.441337585449219</v>
      </c>
      <c r="E19" s="89">
        <f t="shared" si="7"/>
        <v>17.089163780212402</v>
      </c>
      <c r="F19" s="90"/>
      <c r="G19" s="89" t="s">
        <v>169</v>
      </c>
      <c r="H19" s="84">
        <v>21.909011840820313</v>
      </c>
      <c r="I19" s="89">
        <v>22.166772842407227</v>
      </c>
      <c r="J19" s="89">
        <f t="shared" si="8"/>
        <v>22.03789234161377</v>
      </c>
      <c r="K19" s="90"/>
      <c r="L19" s="83"/>
      <c r="M19" s="83"/>
      <c r="N19" s="83"/>
      <c r="O19" s="96"/>
      <c r="P19" s="96"/>
      <c r="U19" s="89" t="s">
        <v>169</v>
      </c>
      <c r="V19" s="89">
        <v>16.736989974975586</v>
      </c>
      <c r="W19" s="89">
        <v>17.441337585449219</v>
      </c>
      <c r="X19" s="89">
        <f t="shared" si="9"/>
        <v>17.089163780212402</v>
      </c>
      <c r="Y19" s="90"/>
      <c r="Z19" s="89" t="s">
        <v>169</v>
      </c>
      <c r="AA19" s="89">
        <v>20.443716049194336</v>
      </c>
      <c r="AB19" s="89">
        <v>20.485248565673828</v>
      </c>
      <c r="AC19" s="89">
        <f t="shared" si="10"/>
        <v>20.464482307434082</v>
      </c>
      <c r="AD19" s="96"/>
      <c r="AE19" s="120"/>
      <c r="AF19" s="165"/>
      <c r="AG19" s="120"/>
      <c r="AH19" s="96"/>
      <c r="AI19" s="96"/>
    </row>
    <row r="20" spans="2:35" x14ac:dyDescent="0.25">
      <c r="B20" s="89" t="s">
        <v>170</v>
      </c>
      <c r="C20" s="89">
        <v>16.943765640258789</v>
      </c>
      <c r="D20" s="89">
        <v>16.894149780273438</v>
      </c>
      <c r="E20" s="89">
        <f t="shared" si="7"/>
        <v>16.918957710266113</v>
      </c>
      <c r="F20" s="90"/>
      <c r="G20" s="89" t="s">
        <v>170</v>
      </c>
      <c r="H20" s="84">
        <v>20.452478408813477</v>
      </c>
      <c r="I20" s="89">
        <v>20.431385040283203</v>
      </c>
      <c r="J20" s="89">
        <f t="shared" si="8"/>
        <v>20.44193172454834</v>
      </c>
      <c r="K20" s="90"/>
      <c r="L20" s="83"/>
      <c r="M20" s="83"/>
      <c r="N20" s="83"/>
      <c r="O20" s="96"/>
      <c r="P20" s="96"/>
      <c r="U20" s="89" t="s">
        <v>170</v>
      </c>
      <c r="V20" s="89">
        <v>16.943765640258789</v>
      </c>
      <c r="W20" s="89">
        <v>16.894149780273438</v>
      </c>
      <c r="X20" s="89">
        <f t="shared" si="9"/>
        <v>16.918957710266113</v>
      </c>
      <c r="Y20" s="90"/>
      <c r="Z20" s="89" t="s">
        <v>170</v>
      </c>
      <c r="AA20" s="89">
        <v>18.818403244018555</v>
      </c>
      <c r="AB20" s="89">
        <v>18.744873046875</v>
      </c>
      <c r="AC20" s="89">
        <f t="shared" si="10"/>
        <v>18.781638145446777</v>
      </c>
      <c r="AD20" s="96"/>
      <c r="AE20" s="120"/>
      <c r="AF20" s="165"/>
      <c r="AG20" s="120"/>
      <c r="AH20" s="96"/>
      <c r="AI20" s="96"/>
    </row>
    <row r="21" spans="2:35" x14ac:dyDescent="0.25">
      <c r="B21" s="89" t="s">
        <v>171</v>
      </c>
      <c r="C21" s="89">
        <v>16.693820953369141</v>
      </c>
      <c r="D21" s="89">
        <v>16.88908576965332</v>
      </c>
      <c r="E21" s="89">
        <f t="shared" si="7"/>
        <v>16.79145336151123</v>
      </c>
      <c r="F21" s="90"/>
      <c r="G21" s="89" t="s">
        <v>171</v>
      </c>
      <c r="H21" s="84">
        <v>20.293689727783203</v>
      </c>
      <c r="I21" s="89">
        <v>20.072397232055664</v>
      </c>
      <c r="J21" s="89">
        <f t="shared" si="8"/>
        <v>20.183043479919434</v>
      </c>
      <c r="K21" s="90"/>
      <c r="L21" s="83"/>
      <c r="M21" s="83"/>
      <c r="N21" s="83"/>
      <c r="O21" s="96"/>
      <c r="P21" s="96"/>
      <c r="U21" s="89" t="s">
        <v>171</v>
      </c>
      <c r="V21" s="89">
        <v>16.693820953369141</v>
      </c>
      <c r="W21" s="89">
        <v>16.88908576965332</v>
      </c>
      <c r="X21" s="89">
        <f t="shared" si="9"/>
        <v>16.79145336151123</v>
      </c>
      <c r="Y21" s="90"/>
      <c r="Z21" s="89" t="s">
        <v>171</v>
      </c>
      <c r="AA21" s="89">
        <v>18.235469818115234</v>
      </c>
      <c r="AB21" s="89">
        <v>18.140510559082031</v>
      </c>
      <c r="AC21" s="89">
        <f t="shared" si="10"/>
        <v>18.187990188598633</v>
      </c>
      <c r="AD21" s="96"/>
      <c r="AE21" s="120"/>
      <c r="AF21" s="165"/>
      <c r="AG21" s="210"/>
      <c r="AH21" s="96"/>
      <c r="AI21" s="96"/>
    </row>
    <row r="22" spans="2:35" x14ac:dyDescent="0.25">
      <c r="B22" s="89" t="s">
        <v>129</v>
      </c>
      <c r="C22" s="89">
        <v>20.852411270141602</v>
      </c>
      <c r="D22" s="89">
        <v>18.008668899536133</v>
      </c>
      <c r="E22" s="89">
        <f t="shared" si="7"/>
        <v>19.430540084838867</v>
      </c>
      <c r="F22" s="89"/>
      <c r="G22" s="89" t="s">
        <v>129</v>
      </c>
      <c r="H22" s="89">
        <v>22.792303085327148</v>
      </c>
      <c r="I22" s="89">
        <v>20.627822875976563</v>
      </c>
      <c r="J22" s="89">
        <f>AVERAGE(H22:I22)</f>
        <v>21.710062980651855</v>
      </c>
      <c r="K22" s="90"/>
      <c r="L22" s="210"/>
      <c r="M22" s="83"/>
      <c r="N22" s="210"/>
      <c r="O22" s="96"/>
      <c r="P22" s="96"/>
      <c r="U22" s="89" t="s">
        <v>129</v>
      </c>
      <c r="V22" s="89">
        <v>20.852411270141602</v>
      </c>
      <c r="W22" s="89">
        <v>18.008668899536133</v>
      </c>
      <c r="X22" s="89">
        <f t="shared" si="9"/>
        <v>19.430540084838867</v>
      </c>
      <c r="Y22" s="89"/>
      <c r="Z22" s="89" t="s">
        <v>129</v>
      </c>
      <c r="AA22" s="89">
        <v>20.887815475463867</v>
      </c>
      <c r="AB22" s="89">
        <v>21.138740539550781</v>
      </c>
      <c r="AC22" s="89">
        <f t="shared" si="10"/>
        <v>21.013278007507324</v>
      </c>
      <c r="AD22" s="96"/>
      <c r="AE22" s="120"/>
      <c r="AF22" s="165"/>
      <c r="AG22" s="120"/>
      <c r="AH22" s="96"/>
      <c r="AI22" s="96"/>
    </row>
    <row r="23" spans="2:35" x14ac:dyDescent="0.25">
      <c r="B23" s="89" t="s">
        <v>172</v>
      </c>
      <c r="C23" s="89">
        <v>17.266124725341797</v>
      </c>
      <c r="D23" s="89">
        <v>16.559839248657227</v>
      </c>
      <c r="E23" s="89">
        <f t="shared" si="7"/>
        <v>16.912981986999512</v>
      </c>
      <c r="F23" s="89"/>
      <c r="G23" s="89" t="s">
        <v>172</v>
      </c>
      <c r="H23" s="89">
        <v>20.266260147094727</v>
      </c>
      <c r="I23" s="89">
        <v>19.69719123840332</v>
      </c>
      <c r="J23" s="89">
        <f>AVERAGE(H23:I23)</f>
        <v>19.981725692749023</v>
      </c>
      <c r="K23" s="90"/>
      <c r="L23" s="83"/>
      <c r="M23" s="83"/>
      <c r="N23" s="83"/>
      <c r="O23" s="96"/>
      <c r="P23" s="96"/>
      <c r="U23" s="89" t="s">
        <v>172</v>
      </c>
      <c r="V23" s="89">
        <v>17.266124725341797</v>
      </c>
      <c r="W23" s="89">
        <v>16.559839248657227</v>
      </c>
      <c r="X23" s="89">
        <f t="shared" si="9"/>
        <v>16.912981986999512</v>
      </c>
      <c r="Y23" s="89"/>
      <c r="Z23" s="89" t="s">
        <v>172</v>
      </c>
      <c r="AA23" s="89">
        <v>19.670547485351563</v>
      </c>
      <c r="AB23" s="89">
        <v>19.455617904663086</v>
      </c>
      <c r="AC23" s="89">
        <f t="shared" si="10"/>
        <v>19.563082695007324</v>
      </c>
      <c r="AD23" s="96"/>
      <c r="AE23" s="120"/>
      <c r="AF23" s="165"/>
      <c r="AG23" s="120"/>
      <c r="AH23" s="96"/>
      <c r="AI23" s="96"/>
    </row>
    <row r="24" spans="2:35" x14ac:dyDescent="0.25">
      <c r="B24" s="89" t="s">
        <v>173</v>
      </c>
      <c r="C24" s="89">
        <v>17.873924255371094</v>
      </c>
      <c r="D24" s="89">
        <v>18.602476119995117</v>
      </c>
      <c r="E24" s="89">
        <f t="shared" si="7"/>
        <v>18.238200187683105</v>
      </c>
      <c r="F24" s="89"/>
      <c r="G24" s="89" t="s">
        <v>173</v>
      </c>
      <c r="H24" s="89">
        <v>22.083919525146484</v>
      </c>
      <c r="I24" s="89">
        <v>20.756914138793945</v>
      </c>
      <c r="J24" s="89">
        <f>AVERAGE(H24:I24)</f>
        <v>21.420416831970215</v>
      </c>
      <c r="K24" s="90"/>
      <c r="L24" s="83"/>
      <c r="M24" s="83"/>
      <c r="N24" s="83"/>
      <c r="O24" s="96"/>
      <c r="P24" s="96"/>
      <c r="U24" s="89" t="s">
        <v>173</v>
      </c>
      <c r="V24" s="89">
        <v>17.873924255371094</v>
      </c>
      <c r="W24" s="89">
        <v>18.602476119995117</v>
      </c>
      <c r="X24" s="89">
        <f t="shared" si="9"/>
        <v>18.238200187683105</v>
      </c>
      <c r="Y24" s="89"/>
      <c r="Z24" s="89" t="s">
        <v>173</v>
      </c>
      <c r="AA24" s="89">
        <v>22.492147445678711</v>
      </c>
      <c r="AB24" s="89">
        <v>20.771852493286133</v>
      </c>
      <c r="AC24" s="89">
        <f t="shared" si="10"/>
        <v>21.631999969482422</v>
      </c>
      <c r="AD24" s="96"/>
      <c r="AE24" s="120"/>
      <c r="AF24" s="165"/>
      <c r="AG24" s="120"/>
      <c r="AH24" s="96"/>
      <c r="AI24" s="96"/>
    </row>
    <row r="25" spans="2:35" x14ac:dyDescent="0.25">
      <c r="B25" s="89" t="s">
        <v>186</v>
      </c>
      <c r="C25" s="89">
        <v>17.946599960327148</v>
      </c>
      <c r="D25" s="89">
        <v>17.902830123901367</v>
      </c>
      <c r="E25" s="89">
        <f t="shared" si="7"/>
        <v>17.924715042114258</v>
      </c>
      <c r="F25" s="89"/>
      <c r="G25" s="89" t="s">
        <v>186</v>
      </c>
      <c r="H25" s="89">
        <v>19.353012084960938</v>
      </c>
      <c r="I25" s="89">
        <v>19.505708694458008</v>
      </c>
      <c r="J25" s="89">
        <f t="shared" ref="J25:J27" si="11">AVERAGE(H25:I25)</f>
        <v>19.429360389709473</v>
      </c>
      <c r="K25" s="90"/>
      <c r="L25" s="210"/>
      <c r="M25" s="83"/>
      <c r="N25" s="210"/>
      <c r="O25" s="96"/>
      <c r="P25" s="96"/>
      <c r="U25" s="89" t="s">
        <v>186</v>
      </c>
      <c r="V25" s="89">
        <v>17.946599960327148</v>
      </c>
      <c r="W25" s="89">
        <v>17.902830123901367</v>
      </c>
      <c r="X25" s="89">
        <f t="shared" si="9"/>
        <v>17.924715042114258</v>
      </c>
      <c r="Y25" s="90"/>
      <c r="Z25" s="74" t="s">
        <v>186</v>
      </c>
      <c r="AA25" s="74">
        <v>20.365209579467773</v>
      </c>
      <c r="AB25" s="74">
        <v>20.397687911987305</v>
      </c>
      <c r="AC25" s="89">
        <f t="shared" si="10"/>
        <v>20.381448745727539</v>
      </c>
      <c r="AD25" s="96"/>
      <c r="AE25" s="120"/>
      <c r="AF25" s="165"/>
      <c r="AG25" s="120"/>
      <c r="AH25" s="96"/>
      <c r="AI25" s="96"/>
    </row>
    <row r="26" spans="2:35" x14ac:dyDescent="0.25">
      <c r="B26" s="89" t="s">
        <v>187</v>
      </c>
      <c r="C26" s="89">
        <v>26.134695053100586</v>
      </c>
      <c r="D26" s="89">
        <v>26.306724548339844</v>
      </c>
      <c r="E26" s="89">
        <f t="shared" si="7"/>
        <v>26.220709800720215</v>
      </c>
      <c r="F26" s="89"/>
      <c r="G26" s="89" t="s">
        <v>187</v>
      </c>
      <c r="H26" s="89">
        <v>29.553256988525391</v>
      </c>
      <c r="I26" s="89">
        <v>29.39030647277832</v>
      </c>
      <c r="J26" s="89">
        <f t="shared" si="11"/>
        <v>29.471781730651855</v>
      </c>
      <c r="K26" s="90"/>
      <c r="L26" s="83"/>
      <c r="M26" s="83"/>
      <c r="N26" s="83"/>
      <c r="O26" s="96"/>
      <c r="P26" s="96"/>
      <c r="U26" s="89" t="s">
        <v>187</v>
      </c>
      <c r="V26" s="89">
        <v>26.134695053100586</v>
      </c>
      <c r="W26" s="89">
        <v>26.306724548339844</v>
      </c>
      <c r="X26" s="89">
        <f t="shared" si="9"/>
        <v>26.220709800720215</v>
      </c>
      <c r="Z26" s="74" t="s">
        <v>187</v>
      </c>
      <c r="AA26" s="74">
        <v>30.596063613891602</v>
      </c>
      <c r="AB26" s="74">
        <v>30.823223114013672</v>
      </c>
      <c r="AC26" s="89">
        <f t="shared" si="10"/>
        <v>30.709643363952637</v>
      </c>
      <c r="AD26" s="96"/>
      <c r="AE26" s="120"/>
      <c r="AF26" s="165"/>
      <c r="AG26" s="120"/>
      <c r="AH26" s="96"/>
      <c r="AI26" s="96"/>
    </row>
    <row r="27" spans="2:35" x14ac:dyDescent="0.25">
      <c r="B27" s="89" t="s">
        <v>135</v>
      </c>
      <c r="C27" s="89">
        <v>26.150575637817383</v>
      </c>
      <c r="D27" s="89">
        <v>26.100894927978516</v>
      </c>
      <c r="E27" s="89">
        <f t="shared" si="7"/>
        <v>26.125735282897949</v>
      </c>
      <c r="F27" s="89"/>
      <c r="G27" s="89" t="s">
        <v>135</v>
      </c>
      <c r="H27" s="89">
        <v>29.142333984375</v>
      </c>
      <c r="I27" s="89">
        <v>29.258090972900391</v>
      </c>
      <c r="J27" s="89">
        <f t="shared" si="11"/>
        <v>29.200212478637695</v>
      </c>
      <c r="K27" s="90"/>
      <c r="L27" s="83"/>
      <c r="M27" s="83"/>
      <c r="N27" s="83"/>
      <c r="O27" s="96"/>
      <c r="P27" s="96"/>
      <c r="U27" s="89" t="s">
        <v>135</v>
      </c>
      <c r="V27" s="89">
        <v>26.150575637817383</v>
      </c>
      <c r="W27" s="89">
        <v>26.100894927978516</v>
      </c>
      <c r="X27" s="89">
        <f t="shared" si="9"/>
        <v>26.125735282897949</v>
      </c>
      <c r="Z27" s="74" t="s">
        <v>135</v>
      </c>
      <c r="AA27" s="74">
        <v>30.4713134765625</v>
      </c>
      <c r="AB27" s="74">
        <v>30.536582946777344</v>
      </c>
      <c r="AC27" s="89">
        <f t="shared" si="10"/>
        <v>30.503948211669922</v>
      </c>
      <c r="AD27" s="96"/>
      <c r="AE27" s="120"/>
      <c r="AF27" s="165"/>
      <c r="AG27" s="120"/>
      <c r="AH27" s="96"/>
      <c r="AI27" s="96"/>
    </row>
    <row r="28" spans="2:35" x14ac:dyDescent="0.25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6"/>
      <c r="M28" s="96"/>
      <c r="N28" s="96"/>
      <c r="O28" s="96"/>
      <c r="P28" s="96"/>
      <c r="AD28" s="96"/>
      <c r="AE28" s="96"/>
      <c r="AF28" s="96"/>
      <c r="AG28" s="96"/>
      <c r="AH28" s="96"/>
      <c r="AI28" s="96"/>
    </row>
    <row r="29" spans="2:35" x14ac:dyDescent="0.25"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6"/>
      <c r="M29" s="96"/>
      <c r="N29" s="96"/>
      <c r="O29" s="96"/>
      <c r="P29" s="96"/>
      <c r="U29" s="89" t="s">
        <v>145</v>
      </c>
      <c r="V29" s="89">
        <v>16.189544677734375</v>
      </c>
      <c r="W29" s="89">
        <v>16.344985961914063</v>
      </c>
      <c r="X29" s="89">
        <f t="shared" ref="X29:X42" si="12">AVERAGE(V29:W29)</f>
        <v>16.267265319824219</v>
      </c>
      <c r="Y29" s="90"/>
      <c r="Z29" s="89" t="s">
        <v>145</v>
      </c>
      <c r="AA29" s="89">
        <v>19.941205978393555</v>
      </c>
      <c r="AB29" s="89">
        <v>19.958133697509766</v>
      </c>
      <c r="AC29" s="89">
        <f t="shared" ref="AC29:AC42" si="13">AVERAGE(AA29:AB29)</f>
        <v>19.94966983795166</v>
      </c>
      <c r="AD29" s="96"/>
      <c r="AE29" s="83"/>
      <c r="AF29" s="165"/>
      <c r="AG29" s="120"/>
      <c r="AH29" s="83"/>
      <c r="AI29" s="96"/>
    </row>
    <row r="30" spans="2:35" x14ac:dyDescent="0.25">
      <c r="B30" s="89" t="s">
        <v>145</v>
      </c>
      <c r="C30" s="89">
        <v>16.189544677734375</v>
      </c>
      <c r="D30" s="89">
        <v>16.344985961914063</v>
      </c>
      <c r="E30" s="89">
        <f t="shared" ref="E30:E43" si="14">AVERAGE(C30:D30)</f>
        <v>16.267265319824219</v>
      </c>
      <c r="F30" s="90"/>
      <c r="G30" s="89" t="s">
        <v>145</v>
      </c>
      <c r="H30" s="89">
        <v>21.689470291137695</v>
      </c>
      <c r="I30" s="89">
        <v>21.605731964111328</v>
      </c>
      <c r="J30" s="89">
        <f t="shared" ref="J30:J43" si="15">AVERAGE(H30:I30)</f>
        <v>21.647601127624512</v>
      </c>
      <c r="K30" s="90"/>
      <c r="L30" s="83"/>
      <c r="M30" s="83"/>
      <c r="N30" s="120"/>
      <c r="O30" s="96"/>
      <c r="P30" s="96"/>
      <c r="U30" s="89" t="s">
        <v>174</v>
      </c>
      <c r="V30" s="89">
        <v>16.781517028808594</v>
      </c>
      <c r="W30" s="89">
        <v>16.590034484863281</v>
      </c>
      <c r="X30" s="89">
        <f t="shared" si="12"/>
        <v>16.685775756835938</v>
      </c>
      <c r="Y30" s="90"/>
      <c r="Z30" s="89" t="s">
        <v>174</v>
      </c>
      <c r="AA30" s="89">
        <v>18.659721374511719</v>
      </c>
      <c r="AB30" s="89">
        <v>18.631702423095703</v>
      </c>
      <c r="AC30" s="89">
        <f t="shared" si="13"/>
        <v>18.645711898803711</v>
      </c>
      <c r="AD30" s="96"/>
      <c r="AE30" s="83"/>
      <c r="AF30" s="165"/>
      <c r="AG30" s="210"/>
      <c r="AH30" s="96"/>
      <c r="AI30" s="96"/>
    </row>
    <row r="31" spans="2:35" x14ac:dyDescent="0.25">
      <c r="B31" s="89" t="s">
        <v>174</v>
      </c>
      <c r="C31" s="89">
        <v>16.781517028808594</v>
      </c>
      <c r="D31" s="89">
        <v>16.590034484863281</v>
      </c>
      <c r="E31" s="89">
        <f t="shared" si="14"/>
        <v>16.685775756835938</v>
      </c>
      <c r="F31" s="90"/>
      <c r="G31" s="89" t="s">
        <v>174</v>
      </c>
      <c r="H31" s="89">
        <v>20.253137588500977</v>
      </c>
      <c r="I31" s="89">
        <v>20.034757614135742</v>
      </c>
      <c r="J31" s="89">
        <f t="shared" si="15"/>
        <v>20.143947601318359</v>
      </c>
      <c r="K31" s="90"/>
      <c r="L31" s="83"/>
      <c r="M31" s="83"/>
      <c r="N31" s="120"/>
      <c r="O31" s="96"/>
      <c r="P31" s="96"/>
      <c r="U31" s="89" t="s">
        <v>133</v>
      </c>
      <c r="V31" s="89">
        <v>16.178571701049805</v>
      </c>
      <c r="W31" s="89">
        <v>16.014217376708984</v>
      </c>
      <c r="X31" s="89">
        <f t="shared" si="12"/>
        <v>16.096394538879395</v>
      </c>
      <c r="Y31" s="90"/>
      <c r="Z31" s="89" t="s">
        <v>133</v>
      </c>
      <c r="AA31" s="89">
        <v>20.112775802612305</v>
      </c>
      <c r="AB31" s="89">
        <v>20.012186050415039</v>
      </c>
      <c r="AC31" s="89">
        <f t="shared" si="13"/>
        <v>20.062480926513672</v>
      </c>
      <c r="AD31" s="96"/>
      <c r="AE31" s="83"/>
      <c r="AF31" s="165"/>
      <c r="AG31" s="120"/>
      <c r="AH31" s="96"/>
      <c r="AI31" s="96"/>
    </row>
    <row r="32" spans="2:35" x14ac:dyDescent="0.25">
      <c r="B32" s="89" t="s">
        <v>133</v>
      </c>
      <c r="C32" s="89">
        <v>16.178571701049805</v>
      </c>
      <c r="D32" s="89">
        <v>16.014217376708984</v>
      </c>
      <c r="E32" s="89">
        <f t="shared" si="14"/>
        <v>16.096394538879395</v>
      </c>
      <c r="F32" s="90"/>
      <c r="G32" s="89" t="s">
        <v>133</v>
      </c>
      <c r="H32" s="89">
        <v>23.14189338684082</v>
      </c>
      <c r="I32" s="89">
        <v>22.731697082519531</v>
      </c>
      <c r="J32" s="89">
        <f t="shared" si="15"/>
        <v>22.936795234680176</v>
      </c>
      <c r="K32" s="90"/>
      <c r="L32" s="83"/>
      <c r="M32" s="83"/>
      <c r="N32" s="120"/>
      <c r="O32" s="96"/>
      <c r="P32" s="96"/>
      <c r="U32" s="89" t="s">
        <v>175</v>
      </c>
      <c r="V32" s="89">
        <v>17.699672698974609</v>
      </c>
      <c r="W32" s="89">
        <v>17.610679626464844</v>
      </c>
      <c r="X32" s="89">
        <f t="shared" si="12"/>
        <v>17.655176162719727</v>
      </c>
      <c r="Y32" s="90"/>
      <c r="Z32" s="89" t="s">
        <v>175</v>
      </c>
      <c r="AA32" s="89">
        <v>19.600021362304688</v>
      </c>
      <c r="AB32" s="89">
        <v>19.439357757568359</v>
      </c>
      <c r="AC32" s="89">
        <f t="shared" si="13"/>
        <v>19.519689559936523</v>
      </c>
      <c r="AD32" s="96"/>
      <c r="AE32" s="83"/>
      <c r="AF32" s="165"/>
      <c r="AG32" s="210"/>
      <c r="AH32" s="96"/>
      <c r="AI32" s="96"/>
    </row>
    <row r="33" spans="2:35" x14ac:dyDescent="0.25">
      <c r="B33" s="89" t="s">
        <v>175</v>
      </c>
      <c r="C33" s="89">
        <v>17.699672698974609</v>
      </c>
      <c r="D33" s="89">
        <v>17.610679626464844</v>
      </c>
      <c r="E33" s="89">
        <f t="shared" si="14"/>
        <v>17.655176162719727</v>
      </c>
      <c r="F33" s="90"/>
      <c r="G33" s="89" t="s">
        <v>175</v>
      </c>
      <c r="H33" s="89">
        <v>20.879201889038086</v>
      </c>
      <c r="I33" s="89">
        <v>20.876670837402344</v>
      </c>
      <c r="J33" s="89">
        <f t="shared" si="15"/>
        <v>20.877936363220215</v>
      </c>
      <c r="K33" s="90"/>
      <c r="L33" s="210"/>
      <c r="M33" s="83"/>
      <c r="N33" s="210"/>
      <c r="O33" s="96"/>
      <c r="P33" s="96"/>
      <c r="U33" s="89" t="s">
        <v>176</v>
      </c>
      <c r="V33" s="89">
        <v>16.62727165222168</v>
      </c>
      <c r="W33" s="89">
        <v>16.533910751342773</v>
      </c>
      <c r="X33" s="89">
        <f t="shared" si="12"/>
        <v>16.580591201782227</v>
      </c>
      <c r="Y33" s="90"/>
      <c r="Z33" s="89" t="s">
        <v>176</v>
      </c>
      <c r="AA33" s="89">
        <v>18.206165313720703</v>
      </c>
      <c r="AB33" s="89">
        <v>18.135738372802734</v>
      </c>
      <c r="AC33" s="89">
        <f t="shared" si="13"/>
        <v>18.170951843261719</v>
      </c>
      <c r="AD33" s="96"/>
      <c r="AE33" s="83"/>
      <c r="AF33" s="165"/>
      <c r="AG33" s="210"/>
      <c r="AH33" s="96"/>
      <c r="AI33" s="96"/>
    </row>
    <row r="34" spans="2:35" x14ac:dyDescent="0.25">
      <c r="B34" s="89" t="s">
        <v>176</v>
      </c>
      <c r="C34" s="89">
        <v>16.62727165222168</v>
      </c>
      <c r="D34" s="89">
        <v>16.533910751342773</v>
      </c>
      <c r="E34" s="89">
        <f t="shared" si="14"/>
        <v>16.580591201782227</v>
      </c>
      <c r="F34" s="90"/>
      <c r="G34" s="89" t="s">
        <v>176</v>
      </c>
      <c r="H34" s="89">
        <v>19.972406387329102</v>
      </c>
      <c r="I34" s="89">
        <v>19.717227935791016</v>
      </c>
      <c r="J34" s="89">
        <f t="shared" si="15"/>
        <v>19.844817161560059</v>
      </c>
      <c r="K34" s="90"/>
      <c r="L34" s="210"/>
      <c r="M34" s="83"/>
      <c r="N34" s="210"/>
      <c r="O34" s="96"/>
      <c r="P34" s="96"/>
      <c r="U34" s="89" t="s">
        <v>177</v>
      </c>
      <c r="V34" s="89">
        <v>17.349807739257813</v>
      </c>
      <c r="W34" s="89">
        <v>17.404153823852539</v>
      </c>
      <c r="X34" s="89">
        <f t="shared" si="12"/>
        <v>17.376980781555176</v>
      </c>
      <c r="Y34" s="90"/>
      <c r="Z34" s="89" t="s">
        <v>177</v>
      </c>
      <c r="AA34" s="89">
        <v>18.980016708374023</v>
      </c>
      <c r="AB34" s="89">
        <v>19.065584182739258</v>
      </c>
      <c r="AC34" s="89">
        <f t="shared" si="13"/>
        <v>19.022800445556641</v>
      </c>
      <c r="AD34" s="96"/>
      <c r="AE34" s="83"/>
      <c r="AF34" s="165"/>
      <c r="AG34" s="210"/>
      <c r="AH34" s="96"/>
      <c r="AI34" s="96"/>
    </row>
    <row r="35" spans="2:35" x14ac:dyDescent="0.25">
      <c r="B35" s="89" t="s">
        <v>177</v>
      </c>
      <c r="C35" s="89">
        <v>17.349807739257813</v>
      </c>
      <c r="D35" s="89">
        <v>17.404153823852539</v>
      </c>
      <c r="E35" s="89">
        <f t="shared" si="14"/>
        <v>17.376980781555176</v>
      </c>
      <c r="F35" s="90"/>
      <c r="G35" s="89" t="s">
        <v>177</v>
      </c>
      <c r="H35" s="89">
        <v>20.867523193359375</v>
      </c>
      <c r="I35" s="89">
        <v>20.629981994628906</v>
      </c>
      <c r="J35" s="89">
        <f t="shared" si="15"/>
        <v>20.748752593994141</v>
      </c>
      <c r="K35" s="90"/>
      <c r="L35" s="210"/>
      <c r="M35" s="83"/>
      <c r="N35" s="210"/>
      <c r="O35" s="96"/>
      <c r="P35" s="96"/>
      <c r="U35" s="89" t="s">
        <v>177</v>
      </c>
      <c r="V35" s="89">
        <v>13.764362335205078</v>
      </c>
      <c r="W35" s="89">
        <v>12.719460487365723</v>
      </c>
      <c r="X35" s="89">
        <f t="shared" si="12"/>
        <v>13.2419114112854</v>
      </c>
      <c r="Y35" s="90"/>
      <c r="Z35" s="89" t="s">
        <v>177</v>
      </c>
      <c r="AA35" s="89">
        <v>20.019296646118164</v>
      </c>
      <c r="AB35" s="89">
        <v>19.306718826293945</v>
      </c>
      <c r="AC35" s="89">
        <f t="shared" si="13"/>
        <v>19.663007736206055</v>
      </c>
      <c r="AD35" s="96"/>
      <c r="AE35" s="83"/>
      <c r="AF35" s="165"/>
      <c r="AG35" s="120"/>
      <c r="AH35" s="96"/>
      <c r="AI35" s="96"/>
    </row>
    <row r="36" spans="2:35" x14ac:dyDescent="0.25">
      <c r="B36" s="89" t="s">
        <v>177</v>
      </c>
      <c r="C36" s="89">
        <v>13.764362335205078</v>
      </c>
      <c r="D36" s="89">
        <v>12.719460487365723</v>
      </c>
      <c r="E36" s="89">
        <f t="shared" si="14"/>
        <v>13.2419114112854</v>
      </c>
      <c r="F36" s="90"/>
      <c r="G36" s="89" t="s">
        <v>177</v>
      </c>
      <c r="H36" s="89">
        <v>20.704715728759766</v>
      </c>
      <c r="I36" s="89">
        <v>21.847066879272461</v>
      </c>
      <c r="J36" s="89">
        <f t="shared" si="15"/>
        <v>21.275891304016113</v>
      </c>
      <c r="K36" s="90"/>
      <c r="L36" s="120"/>
      <c r="M36" s="120"/>
      <c r="N36" s="120"/>
      <c r="O36" s="96"/>
      <c r="P36" s="96"/>
      <c r="U36" s="89" t="s">
        <v>178</v>
      </c>
      <c r="V36" s="89">
        <v>28.249711990356445</v>
      </c>
      <c r="W36" s="89">
        <v>27.422447204589844</v>
      </c>
      <c r="X36" s="89">
        <f t="shared" si="12"/>
        <v>27.836079597473145</v>
      </c>
      <c r="Y36" s="90"/>
      <c r="Z36" s="89" t="s">
        <v>178</v>
      </c>
      <c r="AA36" s="89">
        <v>34.730751037597656</v>
      </c>
      <c r="AB36" s="89">
        <v>33.296642303466797</v>
      </c>
      <c r="AC36" s="89">
        <f t="shared" si="13"/>
        <v>34.013696670532227</v>
      </c>
      <c r="AD36" s="96"/>
      <c r="AE36" s="83"/>
      <c r="AF36" s="165"/>
      <c r="AG36" s="120"/>
      <c r="AH36" s="96"/>
      <c r="AI36" s="96"/>
    </row>
    <row r="37" spans="2:35" x14ac:dyDescent="0.25">
      <c r="B37" s="89" t="s">
        <v>178</v>
      </c>
      <c r="C37" s="89">
        <v>28.249711990356445</v>
      </c>
      <c r="D37" s="89">
        <v>27.422447204589844</v>
      </c>
      <c r="E37" s="89">
        <f t="shared" si="14"/>
        <v>27.836079597473145</v>
      </c>
      <c r="F37" s="90"/>
      <c r="G37" s="89" t="s">
        <v>178</v>
      </c>
      <c r="H37" s="89">
        <v>33.586517333984375</v>
      </c>
      <c r="I37" s="89">
        <v>34.946605682373047</v>
      </c>
      <c r="J37" s="89">
        <f t="shared" si="15"/>
        <v>34.266561508178711</v>
      </c>
      <c r="K37" s="90"/>
      <c r="L37" s="120"/>
      <c r="M37" s="120"/>
      <c r="N37" s="120"/>
      <c r="O37" s="96"/>
      <c r="P37" s="96"/>
      <c r="U37" s="89" t="s">
        <v>179</v>
      </c>
      <c r="V37" s="89">
        <v>16.37135124206543</v>
      </c>
      <c r="W37" s="89">
        <v>17.024188995361328</v>
      </c>
      <c r="X37" s="89">
        <f t="shared" si="12"/>
        <v>16.697770118713379</v>
      </c>
      <c r="Y37" s="90"/>
      <c r="Z37" s="89" t="s">
        <v>179</v>
      </c>
      <c r="AA37" s="89">
        <v>25.2747802734375</v>
      </c>
      <c r="AB37" s="89">
        <v>23.733913421630859</v>
      </c>
      <c r="AC37" s="89">
        <f t="shared" si="13"/>
        <v>24.50434684753418</v>
      </c>
      <c r="AD37" s="96"/>
      <c r="AE37" s="83"/>
      <c r="AF37" s="165"/>
      <c r="AG37" s="120"/>
      <c r="AH37" s="96"/>
      <c r="AI37" s="96"/>
    </row>
    <row r="38" spans="2:35" x14ac:dyDescent="0.25">
      <c r="B38" s="89" t="s">
        <v>179</v>
      </c>
      <c r="C38" s="89">
        <v>16.37135124206543</v>
      </c>
      <c r="D38" s="89">
        <v>17.024188995361328</v>
      </c>
      <c r="E38" s="89">
        <f t="shared" si="14"/>
        <v>16.697770118713379</v>
      </c>
      <c r="F38" s="90"/>
      <c r="G38" s="89" t="s">
        <v>179</v>
      </c>
      <c r="H38" s="89">
        <v>25.477182388305664</v>
      </c>
      <c r="I38" s="89">
        <v>26.197359085083008</v>
      </c>
      <c r="J38" s="89">
        <f t="shared" si="15"/>
        <v>25.837270736694336</v>
      </c>
      <c r="K38" s="90"/>
      <c r="L38" s="120"/>
      <c r="M38" s="120"/>
      <c r="N38" s="120"/>
      <c r="O38" s="96"/>
      <c r="P38" s="96"/>
      <c r="U38" s="89" t="s">
        <v>180</v>
      </c>
      <c r="V38" s="89">
        <v>14.299705505371094</v>
      </c>
      <c r="W38" s="89">
        <v>14.440691947937012</v>
      </c>
      <c r="X38" s="89">
        <f t="shared" si="12"/>
        <v>14.370198726654053</v>
      </c>
      <c r="Y38" s="90"/>
      <c r="Z38" s="89" t="s">
        <v>180</v>
      </c>
      <c r="AA38" s="89">
        <v>20.852134704589844</v>
      </c>
      <c r="AB38" s="89">
        <v>20.960809707641602</v>
      </c>
      <c r="AC38" s="89">
        <f t="shared" si="13"/>
        <v>20.906472206115723</v>
      </c>
      <c r="AD38" s="96"/>
      <c r="AE38" s="83"/>
      <c r="AF38" s="165"/>
      <c r="AG38" s="120"/>
      <c r="AH38" s="96"/>
      <c r="AI38" s="96"/>
    </row>
    <row r="39" spans="2:35" x14ac:dyDescent="0.25">
      <c r="B39" s="89" t="s">
        <v>180</v>
      </c>
      <c r="C39" s="89">
        <v>14.299705505371094</v>
      </c>
      <c r="D39" s="89">
        <v>14.440691947937012</v>
      </c>
      <c r="E39" s="89">
        <f t="shared" si="14"/>
        <v>14.370198726654053</v>
      </c>
      <c r="F39" s="90"/>
      <c r="G39" s="89" t="s">
        <v>180</v>
      </c>
      <c r="H39" s="89">
        <v>23.175392150878906</v>
      </c>
      <c r="I39" s="89">
        <v>21.823783874511719</v>
      </c>
      <c r="J39" s="89">
        <f t="shared" si="15"/>
        <v>22.499588012695313</v>
      </c>
      <c r="K39" s="90"/>
      <c r="L39" s="120"/>
      <c r="M39" s="120"/>
      <c r="N39" s="120"/>
      <c r="O39" s="96"/>
      <c r="P39" s="96"/>
      <c r="U39" s="89" t="s">
        <v>142</v>
      </c>
      <c r="V39" s="89">
        <v>14.929178237915039</v>
      </c>
      <c r="W39" s="89">
        <v>12.019709587097168</v>
      </c>
      <c r="X39" s="89">
        <f t="shared" si="12"/>
        <v>13.474443912506104</v>
      </c>
      <c r="Y39" s="90"/>
      <c r="Z39" s="89" t="s">
        <v>142</v>
      </c>
      <c r="AA39" s="89">
        <v>18.540468215942383</v>
      </c>
      <c r="AB39" s="89">
        <v>19.211557388305664</v>
      </c>
      <c r="AC39" s="89">
        <f t="shared" si="13"/>
        <v>18.876012802124023</v>
      </c>
      <c r="AD39" s="96"/>
      <c r="AE39" s="83"/>
      <c r="AF39" s="165"/>
      <c r="AG39" s="120"/>
      <c r="AH39" s="96"/>
      <c r="AI39" s="96"/>
    </row>
    <row r="40" spans="2:35" x14ac:dyDescent="0.25">
      <c r="B40" s="89" t="s">
        <v>142</v>
      </c>
      <c r="C40" s="89">
        <v>14.929178237915039</v>
      </c>
      <c r="D40" s="89">
        <v>12.019709587097168</v>
      </c>
      <c r="E40" s="89">
        <f t="shared" si="14"/>
        <v>13.474443912506104</v>
      </c>
      <c r="F40" s="90"/>
      <c r="G40" s="89" t="s">
        <v>142</v>
      </c>
      <c r="H40" s="89">
        <v>20.94451904296875</v>
      </c>
      <c r="I40" s="89">
        <v>20.552698135375977</v>
      </c>
      <c r="J40" s="89">
        <f t="shared" si="15"/>
        <v>20.748608589172363</v>
      </c>
      <c r="K40" s="90"/>
      <c r="L40" s="120"/>
      <c r="M40" s="83"/>
      <c r="N40" s="120"/>
      <c r="O40" s="96"/>
      <c r="P40" s="96"/>
      <c r="U40" s="89" t="s">
        <v>188</v>
      </c>
      <c r="V40" s="89">
        <v>22.948362350463867</v>
      </c>
      <c r="W40" s="89">
        <v>22.976751327514648</v>
      </c>
      <c r="X40" s="89">
        <f t="shared" si="12"/>
        <v>22.962556838989258</v>
      </c>
      <c r="Y40" s="90"/>
      <c r="Z40" s="74" t="s">
        <v>188</v>
      </c>
      <c r="AA40" s="74">
        <v>29.293294906616211</v>
      </c>
      <c r="AB40" s="74">
        <v>29.551794052124023</v>
      </c>
      <c r="AC40" s="89">
        <f t="shared" si="13"/>
        <v>29.422544479370117</v>
      </c>
      <c r="AD40" s="96"/>
      <c r="AE40" s="83"/>
      <c r="AF40" s="165"/>
      <c r="AG40" s="120"/>
      <c r="AH40" s="96"/>
      <c r="AI40" s="96"/>
    </row>
    <row r="41" spans="2:35" x14ac:dyDescent="0.25">
      <c r="B41" s="89" t="s">
        <v>188</v>
      </c>
      <c r="C41" s="89">
        <v>22.948362350463867</v>
      </c>
      <c r="D41" s="89">
        <v>22.976751327514648</v>
      </c>
      <c r="E41" s="89">
        <f t="shared" si="14"/>
        <v>22.962556838989258</v>
      </c>
      <c r="F41" s="89"/>
      <c r="G41" s="89" t="s">
        <v>188</v>
      </c>
      <c r="H41" s="89">
        <v>30.713516235351563</v>
      </c>
      <c r="I41" s="89">
        <v>30.395294189453125</v>
      </c>
      <c r="J41" s="89">
        <f t="shared" si="15"/>
        <v>30.554405212402344</v>
      </c>
      <c r="K41" s="90"/>
      <c r="L41" s="120"/>
      <c r="M41" s="83"/>
      <c r="N41" s="120"/>
      <c r="O41" s="96"/>
      <c r="P41" s="96"/>
      <c r="U41" s="89" t="s">
        <v>189</v>
      </c>
      <c r="V41" s="89">
        <v>23.035453796386719</v>
      </c>
      <c r="W41" s="89">
        <v>23.160062789916992</v>
      </c>
      <c r="X41" s="89">
        <f t="shared" si="12"/>
        <v>23.097758293151855</v>
      </c>
      <c r="Z41" s="74" t="s">
        <v>189</v>
      </c>
      <c r="AA41" s="74">
        <v>26.58793830871582</v>
      </c>
      <c r="AB41" s="74">
        <v>26.5875244140625</v>
      </c>
      <c r="AC41" s="89">
        <f t="shared" si="13"/>
        <v>26.58773136138916</v>
      </c>
      <c r="AD41" s="96"/>
      <c r="AE41" s="83"/>
      <c r="AF41" s="165"/>
      <c r="AG41" s="120"/>
      <c r="AH41" s="96"/>
      <c r="AI41" s="96"/>
    </row>
    <row r="42" spans="2:35" x14ac:dyDescent="0.25">
      <c r="B42" s="89" t="s">
        <v>189</v>
      </c>
      <c r="C42" s="89">
        <v>23.035453796386719</v>
      </c>
      <c r="D42" s="89">
        <v>23.160062789916992</v>
      </c>
      <c r="E42" s="89">
        <f t="shared" si="14"/>
        <v>23.097758293151855</v>
      </c>
      <c r="F42" s="89"/>
      <c r="G42" s="89" t="s">
        <v>189</v>
      </c>
      <c r="H42" s="89">
        <v>26.952901840209961</v>
      </c>
      <c r="I42" s="89">
        <v>27.007394790649414</v>
      </c>
      <c r="J42" s="89">
        <f t="shared" si="15"/>
        <v>26.980148315429688</v>
      </c>
      <c r="K42" s="90"/>
      <c r="L42" s="83"/>
      <c r="M42" s="83"/>
      <c r="N42" s="120"/>
      <c r="O42" s="96"/>
      <c r="P42" s="96"/>
      <c r="U42" s="89" t="s">
        <v>190</v>
      </c>
      <c r="V42" s="89">
        <v>17.203737258911133</v>
      </c>
      <c r="W42" s="89">
        <v>17.396184921264648</v>
      </c>
      <c r="X42" s="89">
        <f t="shared" si="12"/>
        <v>17.299961090087891</v>
      </c>
      <c r="Z42" s="74" t="s">
        <v>190</v>
      </c>
      <c r="AA42" s="74">
        <v>21.251127243041992</v>
      </c>
      <c r="AB42" s="74">
        <v>21.096935272216797</v>
      </c>
      <c r="AC42" s="89">
        <f t="shared" si="13"/>
        <v>21.174031257629395</v>
      </c>
      <c r="AD42" s="96"/>
      <c r="AE42" s="83"/>
      <c r="AF42" s="165"/>
      <c r="AG42" s="120"/>
      <c r="AH42" s="96"/>
      <c r="AI42" s="96"/>
    </row>
    <row r="43" spans="2:35" x14ac:dyDescent="0.25">
      <c r="B43" s="89" t="s">
        <v>190</v>
      </c>
      <c r="C43" s="89">
        <v>17.203737258911133</v>
      </c>
      <c r="D43" s="89">
        <v>17.396184921264648</v>
      </c>
      <c r="E43" s="89">
        <f t="shared" si="14"/>
        <v>17.299961090087891</v>
      </c>
      <c r="F43" s="89"/>
      <c r="G43" s="89" t="s">
        <v>190</v>
      </c>
      <c r="H43" s="89">
        <v>20.435163497924805</v>
      </c>
      <c r="I43" s="89">
        <v>20.420650482177734</v>
      </c>
      <c r="J43" s="89">
        <f t="shared" si="15"/>
        <v>20.42790699005127</v>
      </c>
      <c r="K43" s="90"/>
      <c r="L43" s="210"/>
      <c r="M43" s="83"/>
      <c r="N43" s="210"/>
      <c r="O43" s="96"/>
      <c r="P43" s="96"/>
      <c r="AD43" s="96"/>
      <c r="AE43" s="96"/>
      <c r="AF43" s="96"/>
      <c r="AG43" s="96"/>
      <c r="AH43" s="96"/>
      <c r="AI43" s="96"/>
    </row>
    <row r="44" spans="2:35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6"/>
      <c r="M44" s="96"/>
      <c r="N44" s="96"/>
      <c r="O44" s="96"/>
      <c r="P44" s="96"/>
      <c r="AD44" s="96"/>
      <c r="AE44" s="96"/>
      <c r="AF44" s="96"/>
      <c r="AG44" s="96"/>
      <c r="AH44" s="96"/>
      <c r="AI44" s="96"/>
    </row>
    <row r="45" spans="2:35" x14ac:dyDescent="0.25">
      <c r="B45" s="89" t="s">
        <v>128</v>
      </c>
      <c r="C45" s="89">
        <v>17.357624053955078</v>
      </c>
      <c r="D45" s="89">
        <v>17.051048278808594</v>
      </c>
      <c r="E45" s="89">
        <f>AVERAGE(C45:D45)</f>
        <v>17.204336166381836</v>
      </c>
      <c r="F45" s="90"/>
      <c r="G45" s="89" t="s">
        <v>128</v>
      </c>
      <c r="H45" s="89">
        <v>20.087535858154297</v>
      </c>
      <c r="I45" s="89">
        <v>20.067825317382813</v>
      </c>
      <c r="J45" s="89">
        <f>AVERAGE(H45:I45)</f>
        <v>20.077680587768555</v>
      </c>
      <c r="K45" s="90"/>
      <c r="L45" s="120"/>
      <c r="M45" s="83"/>
      <c r="N45" s="120"/>
      <c r="O45" s="96"/>
      <c r="P45" s="96"/>
      <c r="U45" s="89" t="s">
        <v>128</v>
      </c>
      <c r="V45" s="89">
        <v>17.357624053955078</v>
      </c>
      <c r="W45" s="89">
        <v>17.051048278808594</v>
      </c>
      <c r="X45" s="89">
        <f>AVERAGE(V45:W45)</f>
        <v>17.204336166381836</v>
      </c>
      <c r="Y45" s="90"/>
      <c r="Z45" s="89" t="s">
        <v>128</v>
      </c>
      <c r="AA45" s="89">
        <v>18.093996047973633</v>
      </c>
      <c r="AB45" s="89">
        <v>18.277589797973633</v>
      </c>
      <c r="AC45" s="89">
        <f>AVERAGE(AA45:AB45)</f>
        <v>18.185792922973633</v>
      </c>
      <c r="AD45" s="96"/>
      <c r="AE45" s="120"/>
      <c r="AF45" s="165"/>
      <c r="AG45" s="210"/>
      <c r="AH45" s="83"/>
      <c r="AI45" s="96"/>
    </row>
    <row r="46" spans="2:35" x14ac:dyDescent="0.25">
      <c r="B46" s="89" t="s">
        <v>181</v>
      </c>
      <c r="C46" s="89"/>
      <c r="D46" s="89">
        <v>19.796266555786133</v>
      </c>
      <c r="E46" s="89">
        <f>AVERAGE(C46:D46)</f>
        <v>19.796266555786133</v>
      </c>
      <c r="F46" s="90"/>
      <c r="G46" s="89" t="s">
        <v>181</v>
      </c>
      <c r="H46" s="89">
        <v>18.84783935546875</v>
      </c>
      <c r="I46" s="89">
        <v>18.967918395996094</v>
      </c>
      <c r="J46" s="89">
        <f>AVERAGE(H46:I46)</f>
        <v>18.907878875732422</v>
      </c>
      <c r="K46" s="90"/>
      <c r="L46" s="210"/>
      <c r="M46" s="83"/>
      <c r="N46" s="210"/>
      <c r="O46" s="96"/>
      <c r="P46" s="96"/>
      <c r="U46" s="89" t="s">
        <v>181</v>
      </c>
      <c r="V46" s="89"/>
      <c r="W46" s="89">
        <v>19.796266555786133</v>
      </c>
      <c r="X46" s="89">
        <f>AVERAGE(V46:W46)</f>
        <v>19.796266555786133</v>
      </c>
      <c r="Y46" s="90"/>
      <c r="Z46" s="89" t="s">
        <v>181</v>
      </c>
      <c r="AA46" s="89">
        <v>17.512527465820313</v>
      </c>
      <c r="AB46" s="89">
        <v>18.168310165405273</v>
      </c>
      <c r="AC46" s="89">
        <f>AVERAGE(AA46:AB46)</f>
        <v>17.840418815612793</v>
      </c>
      <c r="AD46" s="96"/>
      <c r="AE46" s="120"/>
      <c r="AF46" s="165"/>
      <c r="AG46" s="210"/>
      <c r="AH46" s="96"/>
      <c r="AI46" s="96"/>
    </row>
    <row r="47" spans="2:35" x14ac:dyDescent="0.25">
      <c r="B47" s="89" t="s">
        <v>182</v>
      </c>
      <c r="C47" s="89">
        <v>16.584554672241211</v>
      </c>
      <c r="D47" s="89">
        <v>16.582395553588867</v>
      </c>
      <c r="E47" s="89">
        <f>AVERAGE(C47:D47)</f>
        <v>16.583475112915039</v>
      </c>
      <c r="F47" s="90"/>
      <c r="G47" s="89" t="s">
        <v>182</v>
      </c>
      <c r="H47" s="89">
        <v>25.564210891723633</v>
      </c>
      <c r="I47" s="89">
        <v>25.391714096069336</v>
      </c>
      <c r="J47" s="89">
        <f>AVERAGE(H47:I47)</f>
        <v>25.477962493896484</v>
      </c>
      <c r="K47" s="90"/>
      <c r="L47" s="120"/>
      <c r="M47" s="83"/>
      <c r="N47" s="120"/>
      <c r="O47" s="96"/>
      <c r="P47" s="96"/>
      <c r="U47" s="89" t="s">
        <v>182</v>
      </c>
      <c r="V47" s="89">
        <v>16.584554672241211</v>
      </c>
      <c r="W47" s="89">
        <v>16.582395553588867</v>
      </c>
      <c r="X47" s="89">
        <f>AVERAGE(V47:W47)</f>
        <v>16.583475112915039</v>
      </c>
      <c r="Y47" s="90"/>
      <c r="Z47" s="89" t="s">
        <v>182</v>
      </c>
      <c r="AA47" s="89">
        <v>23.111873626708984</v>
      </c>
      <c r="AB47" s="89">
        <v>23.201379776000977</v>
      </c>
      <c r="AC47" s="89">
        <f>AVERAGE(AA47:AB47)</f>
        <v>23.15662670135498</v>
      </c>
      <c r="AD47" s="96"/>
      <c r="AE47" s="120"/>
      <c r="AF47" s="165"/>
      <c r="AG47" s="120"/>
      <c r="AH47" s="96"/>
      <c r="AI47" s="96"/>
    </row>
    <row r="48" spans="2:35" x14ac:dyDescent="0.25">
      <c r="B48" s="89" t="s">
        <v>146</v>
      </c>
      <c r="C48" s="89">
        <v>17.450344085693359</v>
      </c>
      <c r="D48" s="89">
        <v>17.390621185302734</v>
      </c>
      <c r="E48" s="89">
        <f>AVERAGE(C48:D48)</f>
        <v>17.420482635498047</v>
      </c>
      <c r="F48" s="90"/>
      <c r="G48" s="89" t="s">
        <v>146</v>
      </c>
      <c r="H48" s="89">
        <v>20.302717208862305</v>
      </c>
      <c r="I48" s="89">
        <v>20.149818420410156</v>
      </c>
      <c r="J48" s="89">
        <f>AVERAGE(H48:I48)</f>
        <v>20.22626781463623</v>
      </c>
      <c r="K48" s="90"/>
      <c r="L48" s="210"/>
      <c r="M48" s="83"/>
      <c r="N48" s="210"/>
      <c r="O48" s="96"/>
      <c r="P48" s="96"/>
      <c r="U48" s="89" t="s">
        <v>146</v>
      </c>
      <c r="V48" s="89">
        <v>17.450344085693359</v>
      </c>
      <c r="W48" s="89">
        <v>17.390621185302734</v>
      </c>
      <c r="X48" s="89">
        <f>AVERAGE(V48:W48)</f>
        <v>17.420482635498047</v>
      </c>
      <c r="Y48" s="90"/>
      <c r="Z48" s="89" t="s">
        <v>146</v>
      </c>
      <c r="AA48" s="89">
        <v>18.812534332275391</v>
      </c>
      <c r="AB48" s="89">
        <v>18.745466232299805</v>
      </c>
      <c r="AC48" s="89">
        <f>AVERAGE(AA48:AB48)</f>
        <v>18.779000282287598</v>
      </c>
      <c r="AD48" s="96"/>
      <c r="AE48" s="120"/>
      <c r="AF48" s="165"/>
      <c r="AG48" s="210"/>
      <c r="AH48" s="96"/>
      <c r="AI48" s="96"/>
    </row>
    <row r="49" spans="2:35" x14ac:dyDescent="0.25">
      <c r="B49" s="89" t="s">
        <v>183</v>
      </c>
      <c r="C49" s="89">
        <v>14.689391136169434</v>
      </c>
      <c r="D49" s="89">
        <v>13.357381820678711</v>
      </c>
      <c r="E49" s="89">
        <f t="shared" ref="E49:E57" si="16">AVERAGE(C49:D49)</f>
        <v>14.023386478424072</v>
      </c>
      <c r="F49" s="90"/>
      <c r="G49" s="89" t="s">
        <v>183</v>
      </c>
      <c r="H49" s="89">
        <v>21.21502685546875</v>
      </c>
      <c r="I49" s="89">
        <v>22.144441604614258</v>
      </c>
      <c r="J49" s="89">
        <f t="shared" ref="J49:J57" si="17">AVERAGE(H49:I49)</f>
        <v>21.679734230041504</v>
      </c>
      <c r="K49" s="90"/>
      <c r="L49" s="83"/>
      <c r="M49" s="83"/>
      <c r="N49" s="83"/>
      <c r="O49" s="96"/>
      <c r="P49" s="96"/>
      <c r="U49" s="89" t="s">
        <v>183</v>
      </c>
      <c r="V49" s="89">
        <v>14.689391136169434</v>
      </c>
      <c r="W49" s="89">
        <v>13.357381820678711</v>
      </c>
      <c r="X49" s="89">
        <f t="shared" ref="X49:X57" si="18">AVERAGE(V49:W49)</f>
        <v>14.023386478424072</v>
      </c>
      <c r="Y49" s="90"/>
      <c r="Z49" s="89" t="s">
        <v>183</v>
      </c>
      <c r="AA49" s="89">
        <v>18.476274490356445</v>
      </c>
      <c r="AB49" s="89">
        <v>20.063312530517578</v>
      </c>
      <c r="AC49" s="89">
        <f t="shared" ref="AC49:AC57" si="19">AVERAGE(AA49:AB49)</f>
        <v>19.269793510437012</v>
      </c>
      <c r="AD49" s="96"/>
      <c r="AE49" s="120"/>
      <c r="AF49" s="165"/>
      <c r="AG49" s="120"/>
      <c r="AH49" s="96"/>
      <c r="AI49" s="96"/>
    </row>
    <row r="50" spans="2:35" x14ac:dyDescent="0.25">
      <c r="B50" s="89" t="s">
        <v>122</v>
      </c>
      <c r="C50" s="89">
        <v>14.88420295715332</v>
      </c>
      <c r="D50" s="89">
        <v>14.678396224975586</v>
      </c>
      <c r="E50" s="89">
        <f t="shared" si="16"/>
        <v>14.781299591064453</v>
      </c>
      <c r="F50" s="90"/>
      <c r="G50" s="89" t="s">
        <v>122</v>
      </c>
      <c r="H50" s="89">
        <v>23.173440933227539</v>
      </c>
      <c r="I50" s="89">
        <v>23.403560638427734</v>
      </c>
      <c r="J50" s="89">
        <f t="shared" si="17"/>
        <v>23.288500785827637</v>
      </c>
      <c r="K50" s="90"/>
      <c r="L50" s="83"/>
      <c r="M50" s="83"/>
      <c r="N50" s="83"/>
      <c r="O50" s="96"/>
      <c r="P50" s="96"/>
      <c r="U50" s="89" t="s">
        <v>122</v>
      </c>
      <c r="V50" s="89">
        <v>14.88420295715332</v>
      </c>
      <c r="W50" s="89">
        <v>14.678396224975586</v>
      </c>
      <c r="X50" s="89">
        <f t="shared" si="18"/>
        <v>14.781299591064453</v>
      </c>
      <c r="Y50" s="90"/>
      <c r="Z50" s="89" t="s">
        <v>122</v>
      </c>
      <c r="AA50" s="89">
        <v>19.401464462280273</v>
      </c>
      <c r="AB50" s="89">
        <v>18.653921127319336</v>
      </c>
      <c r="AC50" s="89">
        <f t="shared" si="19"/>
        <v>19.027692794799805</v>
      </c>
      <c r="AD50" s="96"/>
      <c r="AE50" s="120"/>
      <c r="AF50" s="165"/>
      <c r="AG50" s="120"/>
      <c r="AH50" s="96"/>
      <c r="AI50" s="96"/>
    </row>
    <row r="51" spans="2:35" x14ac:dyDescent="0.25">
      <c r="B51" s="89" t="s">
        <v>184</v>
      </c>
      <c r="C51" s="89">
        <v>14.501358032226563</v>
      </c>
      <c r="D51" s="89">
        <v>14.223687171936035</v>
      </c>
      <c r="E51" s="89">
        <f t="shared" si="16"/>
        <v>14.362522602081299</v>
      </c>
      <c r="F51" s="90"/>
      <c r="G51" s="89" t="s">
        <v>184</v>
      </c>
      <c r="H51" s="89">
        <v>20.136653900146484</v>
      </c>
      <c r="I51" s="89">
        <v>22.683923721313477</v>
      </c>
      <c r="J51" s="89">
        <f t="shared" si="17"/>
        <v>21.41028881072998</v>
      </c>
      <c r="K51" s="90"/>
      <c r="L51" s="83"/>
      <c r="M51" s="83"/>
      <c r="N51" s="83"/>
      <c r="O51" s="96"/>
      <c r="P51" s="96"/>
      <c r="U51" s="89" t="s">
        <v>184</v>
      </c>
      <c r="V51" s="89">
        <v>14.501358032226563</v>
      </c>
      <c r="W51" s="89">
        <v>14.223687171936035</v>
      </c>
      <c r="X51" s="89">
        <f t="shared" si="18"/>
        <v>14.362522602081299</v>
      </c>
      <c r="Y51" s="90"/>
      <c r="Z51" s="89" t="s">
        <v>184</v>
      </c>
      <c r="AA51" s="89">
        <v>20.892238616943359</v>
      </c>
      <c r="AB51" s="89">
        <v>21.317329406738281</v>
      </c>
      <c r="AC51" s="89">
        <f t="shared" si="19"/>
        <v>21.10478401184082</v>
      </c>
      <c r="AD51" s="96"/>
      <c r="AE51" s="120"/>
      <c r="AF51" s="165"/>
      <c r="AG51" s="120"/>
      <c r="AH51" s="96"/>
      <c r="AI51" s="96"/>
    </row>
    <row r="52" spans="2:35" x14ac:dyDescent="0.25">
      <c r="B52" s="89" t="s">
        <v>185</v>
      </c>
      <c r="C52" s="89">
        <v>12.555480003356934</v>
      </c>
      <c r="D52" s="89">
        <v>13.422823905944824</v>
      </c>
      <c r="E52" s="89">
        <f t="shared" si="16"/>
        <v>12.989151954650879</v>
      </c>
      <c r="F52" s="90"/>
      <c r="G52" s="89" t="s">
        <v>185</v>
      </c>
      <c r="H52" s="89">
        <v>20.570413589477539</v>
      </c>
      <c r="I52" s="89">
        <v>21.666755676269531</v>
      </c>
      <c r="J52" s="89">
        <f t="shared" si="17"/>
        <v>21.118584632873535</v>
      </c>
      <c r="K52" s="90"/>
      <c r="L52" s="83"/>
      <c r="M52" s="83"/>
      <c r="N52" s="83"/>
      <c r="O52" s="96"/>
      <c r="P52" s="96"/>
      <c r="U52" s="89" t="s">
        <v>185</v>
      </c>
      <c r="V52" s="89">
        <v>12.555480003356934</v>
      </c>
      <c r="W52" s="89">
        <v>13.422823905944824</v>
      </c>
      <c r="X52" s="89">
        <f t="shared" si="18"/>
        <v>12.989151954650879</v>
      </c>
      <c r="Y52" s="90"/>
      <c r="Z52" s="89" t="s">
        <v>185</v>
      </c>
      <c r="AA52" s="89">
        <v>18.878318786621094</v>
      </c>
      <c r="AB52" s="89">
        <v>17.413759231567383</v>
      </c>
      <c r="AC52" s="89">
        <f t="shared" si="19"/>
        <v>18.146039009094238</v>
      </c>
      <c r="AD52" s="96"/>
      <c r="AE52" s="120"/>
      <c r="AF52" s="165"/>
      <c r="AG52" s="120"/>
      <c r="AH52" s="96"/>
      <c r="AI52" s="96"/>
    </row>
    <row r="53" spans="2:35" x14ac:dyDescent="0.25">
      <c r="B53" s="89" t="s">
        <v>134</v>
      </c>
      <c r="C53" s="89">
        <v>13.40410041809082</v>
      </c>
      <c r="D53" s="89">
        <v>13.02369499206543</v>
      </c>
      <c r="E53" s="89">
        <f t="shared" si="16"/>
        <v>13.213897705078125</v>
      </c>
      <c r="F53" s="90"/>
      <c r="G53" s="89" t="s">
        <v>134</v>
      </c>
      <c r="H53" s="89">
        <v>20.470592498779297</v>
      </c>
      <c r="I53" s="89">
        <v>20.461864471435547</v>
      </c>
      <c r="J53" s="89">
        <f t="shared" si="17"/>
        <v>20.466228485107422</v>
      </c>
      <c r="K53" s="90"/>
      <c r="L53" s="83"/>
      <c r="M53" s="83"/>
      <c r="N53" s="83"/>
      <c r="O53" s="96"/>
      <c r="P53" s="96"/>
      <c r="U53" s="89" t="s">
        <v>134</v>
      </c>
      <c r="V53" s="89">
        <v>13.40410041809082</v>
      </c>
      <c r="W53" s="89">
        <v>13.02369499206543</v>
      </c>
      <c r="X53" s="89">
        <f t="shared" si="18"/>
        <v>13.213897705078125</v>
      </c>
      <c r="Y53" s="90"/>
      <c r="Z53" s="89" t="s">
        <v>134</v>
      </c>
      <c r="AA53" s="89">
        <v>19.671165466308594</v>
      </c>
      <c r="AB53" s="89">
        <v>17.970699310302734</v>
      </c>
      <c r="AC53" s="89">
        <f t="shared" si="19"/>
        <v>18.820932388305664</v>
      </c>
      <c r="AD53" s="96"/>
      <c r="AE53" s="120"/>
      <c r="AF53" s="165"/>
      <c r="AG53" s="120"/>
      <c r="AH53" s="96"/>
      <c r="AI53" s="96"/>
    </row>
    <row r="54" spans="2:35" x14ac:dyDescent="0.25">
      <c r="B54" s="89" t="s">
        <v>191</v>
      </c>
      <c r="C54" s="89">
        <v>22.410545349121094</v>
      </c>
      <c r="D54" s="89">
        <v>22.464279174804688</v>
      </c>
      <c r="E54" s="89">
        <f t="shared" si="16"/>
        <v>22.437412261962891</v>
      </c>
      <c r="F54" s="89"/>
      <c r="G54" s="89" t="s">
        <v>191</v>
      </c>
      <c r="H54" s="89">
        <v>26.232141494750977</v>
      </c>
      <c r="I54" s="89">
        <v>26.397312164306641</v>
      </c>
      <c r="J54" s="89">
        <f t="shared" si="17"/>
        <v>26.314726829528809</v>
      </c>
      <c r="K54" s="90"/>
      <c r="L54" s="83"/>
      <c r="M54" s="83"/>
      <c r="N54" s="83"/>
      <c r="O54" s="96"/>
      <c r="P54" s="96"/>
      <c r="U54" s="89" t="s">
        <v>191</v>
      </c>
      <c r="V54" s="89">
        <v>22.410545349121094</v>
      </c>
      <c r="W54" s="89">
        <v>22.464279174804688</v>
      </c>
      <c r="X54" s="89">
        <f t="shared" si="18"/>
        <v>22.437412261962891</v>
      </c>
      <c r="Y54" s="90"/>
      <c r="Z54" s="74" t="s">
        <v>191</v>
      </c>
      <c r="AA54" s="74">
        <v>27.870574951171875</v>
      </c>
      <c r="AB54" s="74">
        <v>27.9151611328125</v>
      </c>
      <c r="AC54" s="89">
        <f t="shared" si="19"/>
        <v>27.892868041992188</v>
      </c>
      <c r="AD54" s="96"/>
      <c r="AE54" s="120"/>
      <c r="AF54" s="165"/>
      <c r="AG54" s="120"/>
      <c r="AH54" s="96"/>
      <c r="AI54" s="96"/>
    </row>
    <row r="55" spans="2:35" x14ac:dyDescent="0.25">
      <c r="B55" s="89" t="s">
        <v>192</v>
      </c>
      <c r="C55" s="89">
        <v>17.368066787719727</v>
      </c>
      <c r="D55" s="89">
        <v>17.495887756347656</v>
      </c>
      <c r="E55" s="89">
        <f t="shared" si="16"/>
        <v>17.431977272033691</v>
      </c>
      <c r="F55" s="89"/>
      <c r="G55" s="89" t="s">
        <v>192</v>
      </c>
      <c r="H55" s="89">
        <v>21.893184661865234</v>
      </c>
      <c r="I55" s="89">
        <v>21.692777633666992</v>
      </c>
      <c r="J55" s="89">
        <f t="shared" si="17"/>
        <v>21.792981147766113</v>
      </c>
      <c r="K55" s="90"/>
      <c r="L55" s="83"/>
      <c r="M55" s="83"/>
      <c r="N55" s="83"/>
      <c r="O55" s="96"/>
      <c r="P55" s="96"/>
      <c r="U55" s="89" t="s">
        <v>192</v>
      </c>
      <c r="V55" s="89">
        <v>17.368066787719727</v>
      </c>
      <c r="W55" s="89">
        <v>17.495887756347656</v>
      </c>
      <c r="X55" s="89">
        <f t="shared" si="18"/>
        <v>17.431977272033691</v>
      </c>
      <c r="Y55" s="90"/>
      <c r="Z55" s="74" t="s">
        <v>192</v>
      </c>
      <c r="AA55" s="74">
        <v>19.814907073974609</v>
      </c>
      <c r="AB55" s="74">
        <v>19.804801940917969</v>
      </c>
      <c r="AC55" s="89">
        <f t="shared" si="19"/>
        <v>19.809854507446289</v>
      </c>
      <c r="AD55" s="96"/>
      <c r="AE55" s="120"/>
      <c r="AF55" s="165"/>
      <c r="AG55" s="120"/>
      <c r="AH55" s="96"/>
      <c r="AI55" s="96"/>
    </row>
    <row r="56" spans="2:35" x14ac:dyDescent="0.25">
      <c r="B56" s="89" t="s">
        <v>193</v>
      </c>
      <c r="C56" s="89">
        <v>17.459672927856445</v>
      </c>
      <c r="D56" s="89">
        <v>17.682498931884766</v>
      </c>
      <c r="E56" s="89">
        <f t="shared" si="16"/>
        <v>17.571085929870605</v>
      </c>
      <c r="F56" s="89"/>
      <c r="G56" s="89" t="s">
        <v>193</v>
      </c>
      <c r="H56" s="89">
        <v>19.987607955932617</v>
      </c>
      <c r="I56" s="89">
        <v>19.991750717163086</v>
      </c>
      <c r="J56" s="89">
        <f t="shared" si="17"/>
        <v>19.989679336547852</v>
      </c>
      <c r="K56" s="90"/>
      <c r="L56" s="210"/>
      <c r="M56" s="83"/>
      <c r="N56" s="210"/>
      <c r="O56" s="96"/>
      <c r="P56" s="96"/>
      <c r="U56" s="89" t="s">
        <v>193</v>
      </c>
      <c r="V56" s="89">
        <v>17.459672927856445</v>
      </c>
      <c r="W56" s="89">
        <v>17.682498931884766</v>
      </c>
      <c r="X56" s="89">
        <f t="shared" si="18"/>
        <v>17.571085929870605</v>
      </c>
      <c r="Z56" s="74" t="s">
        <v>193</v>
      </c>
      <c r="AA56" s="74">
        <v>20.757743835449219</v>
      </c>
      <c r="AB56" s="74">
        <v>20.77619743347168</v>
      </c>
      <c r="AC56" s="89">
        <f t="shared" si="19"/>
        <v>20.766970634460449</v>
      </c>
      <c r="AD56" s="96"/>
      <c r="AE56" s="120"/>
      <c r="AF56" s="165"/>
      <c r="AG56" s="120"/>
      <c r="AH56" s="96"/>
      <c r="AI56" s="96"/>
    </row>
    <row r="57" spans="2:35" x14ac:dyDescent="0.25">
      <c r="B57" s="89" t="s">
        <v>194</v>
      </c>
      <c r="C57" s="89">
        <v>16.846475601196289</v>
      </c>
      <c r="D57" s="89">
        <v>16.901924133300781</v>
      </c>
      <c r="E57" s="89">
        <f t="shared" si="16"/>
        <v>16.874199867248535</v>
      </c>
      <c r="F57" s="89"/>
      <c r="G57" s="89" t="s">
        <v>194</v>
      </c>
      <c r="H57" s="89">
        <v>19.966793060302734</v>
      </c>
      <c r="I57" s="89">
        <v>20.037958145141602</v>
      </c>
      <c r="J57" s="89">
        <f t="shared" si="17"/>
        <v>20.002375602722168</v>
      </c>
      <c r="K57" s="90"/>
      <c r="L57" s="83"/>
      <c r="M57" s="83"/>
      <c r="N57" s="83"/>
      <c r="O57" s="96"/>
      <c r="P57" s="96"/>
      <c r="U57" s="89" t="s">
        <v>194</v>
      </c>
      <c r="V57" s="89">
        <v>16.846475601196289</v>
      </c>
      <c r="W57" s="89">
        <v>16.901924133300781</v>
      </c>
      <c r="X57" s="89">
        <f t="shared" si="18"/>
        <v>16.874199867248535</v>
      </c>
      <c r="Z57" s="74" t="s">
        <v>194</v>
      </c>
      <c r="AA57" s="74">
        <v>20.548042297363281</v>
      </c>
      <c r="AB57" s="74">
        <v>20.527267456054688</v>
      </c>
      <c r="AC57" s="89">
        <f t="shared" si="19"/>
        <v>20.537654876708984</v>
      </c>
      <c r="AD57" s="96"/>
      <c r="AE57" s="120"/>
      <c r="AF57" s="165"/>
      <c r="AG57" s="120"/>
      <c r="AH57" s="96"/>
      <c r="AI57" s="96"/>
    </row>
    <row r="58" spans="2:35" x14ac:dyDescent="0.25">
      <c r="B58" s="89"/>
      <c r="C58" s="89"/>
      <c r="D58" s="89"/>
      <c r="E58" s="89"/>
      <c r="F58" s="89"/>
      <c r="G58" s="89"/>
      <c r="H58" s="89"/>
      <c r="I58" s="89"/>
      <c r="J58" s="90"/>
      <c r="K58" s="90"/>
      <c r="L58" s="96"/>
      <c r="M58" s="96"/>
      <c r="N58" s="96"/>
      <c r="O58" s="96"/>
      <c r="P58" s="96"/>
      <c r="AD58" s="96"/>
      <c r="AE58" s="239"/>
      <c r="AF58" s="96"/>
      <c r="AG58" s="96"/>
      <c r="AH58" s="96"/>
      <c r="AI58" s="96"/>
    </row>
    <row r="59" spans="2:35" x14ac:dyDescent="0.25">
      <c r="L59" s="83"/>
      <c r="M59" s="96"/>
      <c r="N59" s="96"/>
      <c r="O59" s="96"/>
      <c r="P59" s="96"/>
      <c r="AD59" s="96"/>
      <c r="AE59" s="96"/>
      <c r="AF59" s="96"/>
      <c r="AG59" s="96"/>
      <c r="AH59" s="96"/>
      <c r="AI59" s="96"/>
    </row>
    <row r="60" spans="2:35" x14ac:dyDescent="0.25">
      <c r="L60" s="238"/>
      <c r="M60" s="96"/>
      <c r="N60" s="96"/>
      <c r="O60" s="96"/>
      <c r="P60" s="96"/>
      <c r="AD60" s="96"/>
      <c r="AE60" s="83"/>
      <c r="AF60" s="96"/>
      <c r="AG60" s="96"/>
      <c r="AH60" s="96"/>
      <c r="AI60" s="96"/>
    </row>
    <row r="61" spans="2:35" x14ac:dyDescent="0.25">
      <c r="L61" s="96"/>
      <c r="M61" s="96"/>
      <c r="N61" s="96"/>
      <c r="O61" s="96"/>
      <c r="P61" s="96"/>
      <c r="AD61" s="96"/>
      <c r="AE61" s="96"/>
      <c r="AF61" s="96"/>
      <c r="AG61" s="96"/>
      <c r="AH61" s="96"/>
      <c r="AI61" s="96"/>
    </row>
    <row r="62" spans="2:35" x14ac:dyDescent="0.25">
      <c r="L62" s="96"/>
      <c r="M62" s="96"/>
      <c r="N62" s="96"/>
      <c r="O62" s="96"/>
      <c r="P62" s="96"/>
      <c r="AD62" s="314"/>
      <c r="AE62" s="314"/>
      <c r="AF62" s="314"/>
      <c r="AG62" s="314"/>
      <c r="AH62" s="96"/>
      <c r="AI62" s="96"/>
    </row>
    <row r="63" spans="2:35" x14ac:dyDescent="0.25">
      <c r="L63" s="314"/>
      <c r="M63" s="314"/>
      <c r="N63" s="314"/>
      <c r="O63" s="314"/>
      <c r="P63" s="96"/>
      <c r="AD63" s="144"/>
      <c r="AE63" s="144"/>
      <c r="AF63" s="144"/>
      <c r="AG63" s="144"/>
      <c r="AH63" s="96"/>
      <c r="AI63" s="96"/>
    </row>
    <row r="64" spans="2:35" x14ac:dyDescent="0.25">
      <c r="L64" s="96"/>
      <c r="M64" s="96"/>
      <c r="N64" s="96"/>
      <c r="O64" s="96"/>
      <c r="P64" s="96"/>
      <c r="AD64" s="144"/>
      <c r="AE64" s="144"/>
      <c r="AF64" s="144"/>
      <c r="AG64" s="144"/>
      <c r="AH64" s="96"/>
      <c r="AI64" s="96"/>
    </row>
    <row r="65" spans="2:36" x14ac:dyDescent="0.25">
      <c r="L65" s="96"/>
      <c r="M65" s="96"/>
      <c r="N65" s="96"/>
      <c r="O65" s="96"/>
      <c r="P65" s="96"/>
      <c r="AD65" s="144"/>
      <c r="AE65" s="144"/>
      <c r="AF65" s="144"/>
      <c r="AG65" s="144"/>
      <c r="AH65" s="96"/>
      <c r="AI65" s="96"/>
    </row>
    <row r="66" spans="2:36" x14ac:dyDescent="0.25">
      <c r="L66" s="96"/>
      <c r="M66" s="96"/>
      <c r="N66" s="96"/>
      <c r="O66" s="96"/>
      <c r="P66" s="96"/>
      <c r="AD66" s="144"/>
      <c r="AE66" s="144"/>
      <c r="AF66" s="144"/>
      <c r="AG66" s="144"/>
      <c r="AH66" s="96"/>
      <c r="AI66" s="96"/>
    </row>
    <row r="67" spans="2:36" x14ac:dyDescent="0.25">
      <c r="L67" s="96"/>
      <c r="M67" s="96"/>
      <c r="N67" s="96"/>
      <c r="O67" s="96"/>
      <c r="P67" s="96"/>
      <c r="AD67" s="144"/>
      <c r="AE67" s="144"/>
      <c r="AF67" s="144"/>
      <c r="AG67" s="144"/>
      <c r="AH67" s="96"/>
      <c r="AI67" s="96"/>
    </row>
    <row r="68" spans="2:36" x14ac:dyDescent="0.25">
      <c r="L68" s="96"/>
      <c r="M68" s="96"/>
      <c r="N68" s="96"/>
      <c r="O68" s="96"/>
      <c r="P68" s="96"/>
      <c r="AD68" s="144"/>
      <c r="AE68" s="144"/>
      <c r="AF68" s="144"/>
      <c r="AG68" s="144"/>
      <c r="AH68" s="96"/>
      <c r="AI68" s="96"/>
    </row>
    <row r="69" spans="2:36" x14ac:dyDescent="0.25">
      <c r="L69" s="96"/>
      <c r="M69" s="96"/>
      <c r="N69" s="96"/>
      <c r="O69" s="96"/>
      <c r="P69" s="96"/>
      <c r="AD69" s="144"/>
      <c r="AE69" s="144"/>
      <c r="AF69" s="144"/>
      <c r="AG69" s="144"/>
      <c r="AH69" s="96"/>
      <c r="AI69" s="96"/>
    </row>
    <row r="70" spans="2:36" x14ac:dyDescent="0.25">
      <c r="L70" s="96"/>
      <c r="M70" s="96"/>
      <c r="N70" s="96"/>
      <c r="O70" s="96"/>
      <c r="P70" s="96"/>
      <c r="AD70" s="144"/>
      <c r="AE70" s="144"/>
      <c r="AF70" s="144"/>
      <c r="AG70" s="144"/>
      <c r="AH70" s="96"/>
      <c r="AI70" s="96"/>
    </row>
    <row r="71" spans="2:36" x14ac:dyDescent="0.25">
      <c r="L71" s="96"/>
      <c r="M71" s="96"/>
      <c r="N71" s="96"/>
      <c r="O71" s="96"/>
      <c r="P71" s="96"/>
      <c r="AD71" s="144"/>
      <c r="AE71" s="144"/>
      <c r="AF71" s="144"/>
      <c r="AG71" s="240"/>
      <c r="AH71" s="218"/>
      <c r="AI71" s="96"/>
    </row>
    <row r="72" spans="2:36" x14ac:dyDescent="0.25">
      <c r="L72" s="96"/>
      <c r="M72" s="96"/>
      <c r="N72" s="96"/>
      <c r="O72" s="96"/>
      <c r="P72" s="96"/>
      <c r="AD72" s="144"/>
      <c r="AE72" s="144"/>
      <c r="AF72" s="144"/>
      <c r="AG72" s="144"/>
      <c r="AH72" s="96"/>
      <c r="AI72" s="96"/>
    </row>
    <row r="73" spans="2:36" x14ac:dyDescent="0.25">
      <c r="L73" s="96"/>
      <c r="M73" s="96"/>
      <c r="N73" s="96"/>
      <c r="O73" s="96"/>
      <c r="P73" s="96"/>
      <c r="AD73" s="144"/>
      <c r="AE73" s="144"/>
      <c r="AF73" s="144"/>
      <c r="AG73" s="144"/>
      <c r="AH73" s="96"/>
      <c r="AI73" s="96"/>
    </row>
    <row r="74" spans="2:36" x14ac:dyDescent="0.25"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6"/>
      <c r="M74" s="96"/>
      <c r="N74" s="96"/>
      <c r="O74" s="96"/>
      <c r="P74" s="96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6"/>
      <c r="AE74" s="96"/>
      <c r="AF74" s="96"/>
      <c r="AG74" s="96"/>
      <c r="AH74" s="96"/>
      <c r="AI74" s="96"/>
      <c r="AJ74" s="90"/>
    </row>
    <row r="75" spans="2:36" x14ac:dyDescent="0.25">
      <c r="B75" s="90"/>
      <c r="C75" s="90"/>
      <c r="D75" s="90"/>
      <c r="E75" s="90"/>
      <c r="F75" s="90"/>
      <c r="G75" s="90"/>
      <c r="H75" s="90"/>
      <c r="I75" s="169"/>
      <c r="J75" s="169"/>
      <c r="K75" s="169"/>
      <c r="L75" s="176"/>
      <c r="M75" s="176"/>
      <c r="N75" s="176"/>
      <c r="O75" s="96"/>
      <c r="P75" s="96"/>
      <c r="Q75" s="90"/>
      <c r="R75" s="90"/>
      <c r="S75" s="90"/>
      <c r="T75" s="90"/>
      <c r="U75" s="167"/>
      <c r="V75" s="168"/>
      <c r="W75" s="168"/>
      <c r="X75" s="168"/>
      <c r="Y75" s="168"/>
      <c r="Z75" s="90"/>
      <c r="AA75" s="90"/>
      <c r="AB75" s="169"/>
      <c r="AC75" s="169"/>
      <c r="AD75" s="176"/>
      <c r="AE75" s="176"/>
      <c r="AF75" s="176"/>
      <c r="AG75" s="176"/>
      <c r="AH75" s="96"/>
      <c r="AI75" s="96"/>
      <c r="AJ75" s="90"/>
    </row>
    <row r="76" spans="2:36" x14ac:dyDescent="0.25">
      <c r="B76" s="90"/>
      <c r="C76" s="90"/>
      <c r="D76" s="90"/>
      <c r="E76" s="90"/>
      <c r="F76" s="90"/>
      <c r="G76" s="90"/>
      <c r="H76" s="90"/>
      <c r="I76" s="167"/>
      <c r="J76" s="168"/>
      <c r="K76" s="90"/>
      <c r="L76" s="96"/>
      <c r="M76" s="96"/>
      <c r="N76" s="96"/>
      <c r="O76" s="96"/>
      <c r="P76" s="96"/>
      <c r="Q76" s="90"/>
      <c r="R76" s="90"/>
      <c r="S76" s="90"/>
      <c r="T76" s="90"/>
      <c r="U76" s="167"/>
      <c r="V76" s="168"/>
      <c r="W76" s="168"/>
      <c r="X76" s="168"/>
      <c r="Y76" s="168"/>
      <c r="Z76" s="90"/>
      <c r="AA76" s="90"/>
      <c r="AB76" s="167"/>
      <c r="AC76" s="168"/>
      <c r="AD76" s="96"/>
      <c r="AE76" s="96"/>
      <c r="AF76" s="96"/>
      <c r="AG76" s="96"/>
      <c r="AH76" s="96"/>
      <c r="AI76" s="96"/>
      <c r="AJ76" s="90"/>
    </row>
    <row r="77" spans="2:36" x14ac:dyDescent="0.25">
      <c r="B77" s="90"/>
      <c r="C77" s="90"/>
      <c r="D77" s="90"/>
      <c r="E77" s="90"/>
      <c r="F77" s="90"/>
      <c r="G77" s="90"/>
      <c r="H77" s="90"/>
      <c r="I77" s="167"/>
      <c r="J77" s="168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167"/>
      <c r="V77" s="168"/>
      <c r="W77" s="168"/>
      <c r="X77" s="168"/>
      <c r="Y77" s="168"/>
      <c r="Z77" s="90"/>
      <c r="AA77" s="90"/>
      <c r="AB77" s="167"/>
      <c r="AC77" s="168"/>
      <c r="AD77" s="96"/>
      <c r="AE77" s="96"/>
      <c r="AF77" s="96"/>
      <c r="AG77" s="96"/>
      <c r="AH77" s="96"/>
      <c r="AI77" s="96"/>
      <c r="AJ77" s="90"/>
    </row>
    <row r="78" spans="2:36" x14ac:dyDescent="0.25">
      <c r="B78" s="90"/>
      <c r="C78" s="90"/>
      <c r="D78" s="90"/>
      <c r="E78" s="90"/>
      <c r="F78" s="90"/>
      <c r="G78" s="90"/>
      <c r="H78" s="90"/>
      <c r="I78" s="167"/>
      <c r="J78" s="168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167"/>
      <c r="V78" s="168"/>
      <c r="W78" s="168"/>
      <c r="X78" s="168"/>
      <c r="Y78" s="168"/>
      <c r="Z78" s="90"/>
      <c r="AA78" s="90"/>
      <c r="AB78" s="167"/>
      <c r="AC78" s="168"/>
      <c r="AD78" s="90"/>
      <c r="AE78" s="90"/>
      <c r="AF78" s="90"/>
      <c r="AG78" s="90"/>
      <c r="AH78" s="90"/>
      <c r="AI78" s="90"/>
      <c r="AJ78" s="90"/>
    </row>
    <row r="79" spans="2:36" x14ac:dyDescent="0.25">
      <c r="B79" s="90"/>
      <c r="C79" s="90"/>
      <c r="D79" s="90"/>
      <c r="E79" s="90"/>
      <c r="F79" s="90"/>
      <c r="G79" s="90"/>
      <c r="H79" s="90"/>
      <c r="I79" s="167"/>
      <c r="J79" s="168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167"/>
      <c r="V79" s="168"/>
      <c r="W79" s="168"/>
      <c r="X79" s="168"/>
      <c r="Y79" s="168"/>
      <c r="Z79" s="90"/>
      <c r="AA79" s="90"/>
      <c r="AB79" s="167"/>
      <c r="AC79" s="168"/>
      <c r="AD79" s="90"/>
      <c r="AE79" s="90"/>
      <c r="AF79" s="90"/>
      <c r="AG79" s="90"/>
      <c r="AH79" s="90"/>
      <c r="AI79" s="90"/>
      <c r="AJ79" s="90"/>
    </row>
    <row r="80" spans="2:36" x14ac:dyDescent="0.25">
      <c r="B80" s="90"/>
      <c r="C80" s="90"/>
      <c r="D80" s="90"/>
      <c r="E80" s="90"/>
      <c r="F80" s="90"/>
      <c r="G80" s="90"/>
      <c r="H80" s="90"/>
      <c r="I80" s="167"/>
      <c r="J80" s="168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167"/>
      <c r="V80" s="168"/>
      <c r="W80" s="168"/>
      <c r="X80" s="168"/>
      <c r="Y80" s="168"/>
      <c r="Z80" s="90"/>
      <c r="AA80" s="90"/>
      <c r="AB80" s="167"/>
      <c r="AC80" s="168"/>
      <c r="AD80" s="90"/>
      <c r="AE80" s="90"/>
      <c r="AF80" s="90"/>
      <c r="AG80" s="90"/>
      <c r="AH80" s="90"/>
      <c r="AI80" s="90"/>
      <c r="AJ80" s="90"/>
    </row>
    <row r="81" spans="2:36" x14ac:dyDescent="0.25">
      <c r="B81" s="90"/>
      <c r="C81" s="90"/>
      <c r="D81" s="90"/>
      <c r="E81" s="90"/>
      <c r="F81" s="90"/>
      <c r="G81" s="90"/>
      <c r="H81" s="90"/>
      <c r="I81" s="167"/>
      <c r="J81" s="168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167"/>
      <c r="V81" s="168"/>
      <c r="W81" s="168"/>
      <c r="X81" s="168"/>
      <c r="Y81" s="168"/>
      <c r="Z81" s="90"/>
      <c r="AA81" s="90"/>
      <c r="AB81" s="167"/>
      <c r="AC81" s="168"/>
      <c r="AD81" s="90"/>
      <c r="AE81" s="90"/>
      <c r="AF81" s="90"/>
      <c r="AG81" s="90"/>
      <c r="AH81" s="90"/>
      <c r="AI81" s="90"/>
      <c r="AJ81" s="90"/>
    </row>
    <row r="82" spans="2:36" x14ac:dyDescent="0.25">
      <c r="B82" s="90"/>
      <c r="C82" s="90"/>
      <c r="D82" s="90"/>
      <c r="E82" s="90"/>
      <c r="F82" s="90"/>
      <c r="G82" s="90"/>
      <c r="H82" s="90"/>
      <c r="I82" s="167"/>
      <c r="J82" s="168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167"/>
      <c r="V82" s="168"/>
      <c r="W82" s="168"/>
      <c r="X82" s="168"/>
      <c r="Y82" s="168"/>
      <c r="Z82" s="90"/>
      <c r="AA82" s="90"/>
      <c r="AB82" s="167"/>
      <c r="AC82" s="168"/>
      <c r="AD82" s="90"/>
      <c r="AE82" s="90"/>
      <c r="AF82" s="90"/>
      <c r="AG82" s="90"/>
      <c r="AH82" s="90"/>
      <c r="AI82" s="90"/>
      <c r="AJ82" s="90"/>
    </row>
    <row r="83" spans="2:36" x14ac:dyDescent="0.25">
      <c r="B83" s="90"/>
      <c r="C83" s="90"/>
      <c r="D83" s="90"/>
      <c r="E83" s="90"/>
      <c r="F83" s="90"/>
      <c r="G83" s="90"/>
      <c r="H83" s="90"/>
      <c r="I83" s="167"/>
      <c r="J83" s="168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167"/>
      <c r="V83" s="168"/>
      <c r="W83" s="168"/>
      <c r="X83" s="168"/>
      <c r="Y83" s="168"/>
      <c r="Z83" s="90"/>
      <c r="AA83" s="90"/>
      <c r="AB83" s="167"/>
      <c r="AC83" s="168"/>
      <c r="AD83" s="90"/>
      <c r="AE83" s="90"/>
      <c r="AF83" s="90"/>
      <c r="AG83" s="90"/>
      <c r="AH83" s="90"/>
      <c r="AI83" s="90"/>
      <c r="AJ83" s="90"/>
    </row>
    <row r="84" spans="2:36" x14ac:dyDescent="0.25">
      <c r="B84" s="90"/>
      <c r="C84" s="90"/>
      <c r="D84" s="90"/>
      <c r="E84" s="90"/>
      <c r="F84" s="90"/>
      <c r="G84" s="90"/>
      <c r="H84" s="90"/>
      <c r="I84" s="167"/>
      <c r="J84" s="168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167"/>
      <c r="V84" s="168"/>
      <c r="W84" s="168"/>
      <c r="X84" s="168"/>
      <c r="Y84" s="168"/>
      <c r="Z84" s="90"/>
      <c r="AA84" s="90"/>
      <c r="AB84" s="167"/>
      <c r="AC84" s="168"/>
      <c r="AD84" s="90"/>
      <c r="AE84" s="90"/>
      <c r="AF84" s="90"/>
      <c r="AG84" s="90"/>
      <c r="AH84" s="90"/>
      <c r="AI84" s="90"/>
      <c r="AJ84" s="90"/>
    </row>
    <row r="85" spans="2:36" x14ac:dyDescent="0.25">
      <c r="B85" s="90"/>
      <c r="C85" s="90"/>
      <c r="D85" s="90"/>
      <c r="E85" s="90"/>
      <c r="F85" s="90"/>
      <c r="G85" s="90"/>
      <c r="H85" s="90"/>
      <c r="I85" s="167"/>
      <c r="J85" s="168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167"/>
      <c r="V85" s="168"/>
      <c r="W85" s="168"/>
      <c r="X85" s="168"/>
      <c r="Y85" s="168"/>
      <c r="Z85" s="90"/>
      <c r="AA85" s="90"/>
      <c r="AB85" s="167"/>
      <c r="AC85" s="168"/>
      <c r="AD85" s="90"/>
      <c r="AE85" s="90"/>
      <c r="AF85" s="90"/>
      <c r="AG85" s="90"/>
      <c r="AH85" s="90"/>
      <c r="AI85" s="90"/>
      <c r="AJ85" s="90"/>
    </row>
    <row r="86" spans="2:36" x14ac:dyDescent="0.25">
      <c r="B86" s="90"/>
      <c r="C86" s="90"/>
      <c r="D86" s="90"/>
      <c r="E86" s="90"/>
      <c r="F86" s="90"/>
      <c r="G86" s="90"/>
      <c r="H86" s="90"/>
      <c r="I86" s="167"/>
      <c r="J86" s="168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167"/>
      <c r="V86" s="168"/>
      <c r="W86" s="168"/>
      <c r="X86" s="168"/>
      <c r="Y86" s="168"/>
      <c r="Z86" s="90"/>
      <c r="AA86" s="90"/>
      <c r="AB86" s="167"/>
      <c r="AC86" s="168"/>
      <c r="AD86" s="90"/>
      <c r="AE86" s="90"/>
      <c r="AF86" s="90"/>
      <c r="AG86" s="90"/>
      <c r="AH86" s="90"/>
      <c r="AI86" s="90"/>
      <c r="AJ86" s="90"/>
    </row>
    <row r="87" spans="2:36" x14ac:dyDescent="0.25">
      <c r="B87" s="90"/>
      <c r="C87" s="90"/>
      <c r="D87" s="90"/>
      <c r="E87" s="90"/>
      <c r="F87" s="90"/>
      <c r="G87" s="90"/>
      <c r="H87" s="90"/>
      <c r="I87" s="167"/>
      <c r="J87" s="168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167"/>
      <c r="V87" s="168"/>
      <c r="W87" s="168"/>
      <c r="X87" s="168"/>
      <c r="Y87" s="168"/>
      <c r="Z87" s="90"/>
      <c r="AA87" s="90"/>
      <c r="AB87" s="167"/>
      <c r="AC87" s="168"/>
      <c r="AD87" s="90"/>
      <c r="AE87" s="90"/>
      <c r="AF87" s="90"/>
      <c r="AG87" s="90"/>
      <c r="AH87" s="90"/>
      <c r="AI87" s="90"/>
      <c r="AJ87" s="90"/>
    </row>
    <row r="88" spans="2:36" x14ac:dyDescent="0.25">
      <c r="B88" s="90"/>
      <c r="C88" s="90"/>
      <c r="D88" s="90"/>
      <c r="E88" s="90"/>
      <c r="F88" s="90"/>
      <c r="G88" s="90"/>
      <c r="H88" s="90"/>
      <c r="I88" s="167"/>
      <c r="J88" s="168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167"/>
      <c r="V88" s="168"/>
      <c r="W88" s="168"/>
      <c r="X88" s="168"/>
      <c r="Y88" s="168"/>
      <c r="Z88" s="90"/>
      <c r="AA88" s="90"/>
      <c r="AB88" s="167"/>
      <c r="AC88" s="168"/>
      <c r="AD88" s="90"/>
      <c r="AE88" s="90"/>
      <c r="AF88" s="90"/>
      <c r="AG88" s="90"/>
      <c r="AH88" s="90"/>
      <c r="AI88" s="90"/>
      <c r="AJ88" s="90"/>
    </row>
    <row r="89" spans="2:36" x14ac:dyDescent="0.25">
      <c r="B89" s="90"/>
      <c r="C89" s="90"/>
      <c r="D89" s="90"/>
      <c r="E89" s="90"/>
      <c r="F89" s="90"/>
      <c r="G89" s="90"/>
      <c r="H89" s="90"/>
      <c r="I89" s="167"/>
      <c r="J89" s="168"/>
      <c r="K89" s="168"/>
      <c r="L89" s="168"/>
      <c r="M89" s="168"/>
      <c r="N89" s="168"/>
      <c r="O89" s="90"/>
      <c r="P89" s="90"/>
      <c r="Q89" s="90"/>
      <c r="R89" s="90"/>
      <c r="S89" s="90"/>
      <c r="T89" s="90"/>
      <c r="U89" s="167"/>
      <c r="V89" s="168"/>
      <c r="W89" s="168"/>
      <c r="X89" s="168"/>
      <c r="Y89" s="168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</row>
    <row r="90" spans="2:36" x14ac:dyDescent="0.25">
      <c r="B90" s="90"/>
      <c r="C90" s="90"/>
      <c r="D90" s="90"/>
      <c r="E90" s="90"/>
      <c r="F90" s="90"/>
      <c r="G90" s="90"/>
      <c r="H90" s="90"/>
      <c r="I90" s="167"/>
      <c r="J90" s="168"/>
      <c r="K90" s="168"/>
      <c r="L90" s="168"/>
      <c r="M90" s="168"/>
      <c r="N90" s="168"/>
      <c r="O90" s="90"/>
      <c r="P90" s="90"/>
      <c r="Q90" s="90"/>
      <c r="R90" s="90"/>
      <c r="S90" s="90"/>
      <c r="T90" s="90"/>
      <c r="U90" s="167"/>
      <c r="V90" s="168"/>
      <c r="W90" s="168"/>
      <c r="X90" s="168"/>
      <c r="Y90" s="168"/>
      <c r="Z90" s="90"/>
      <c r="AA90" s="90"/>
      <c r="AB90" s="167"/>
      <c r="AC90" s="168"/>
      <c r="AD90" s="168"/>
      <c r="AE90" s="168"/>
      <c r="AF90" s="168"/>
      <c r="AG90" s="168"/>
      <c r="AH90" s="90"/>
      <c r="AI90" s="90"/>
      <c r="AJ90" s="90"/>
    </row>
    <row r="91" spans="2:36" x14ac:dyDescent="0.25">
      <c r="B91" s="90"/>
      <c r="C91" s="90"/>
      <c r="D91" s="90"/>
      <c r="E91" s="90"/>
      <c r="F91" s="90"/>
      <c r="G91" s="90"/>
      <c r="H91" s="90"/>
      <c r="I91" s="167"/>
      <c r="J91" s="168"/>
      <c r="K91" s="168"/>
      <c r="L91" s="168"/>
      <c r="M91" s="168"/>
      <c r="N91" s="168"/>
      <c r="O91" s="90"/>
      <c r="P91" s="90"/>
      <c r="Q91" s="90"/>
      <c r="R91" s="90"/>
      <c r="S91" s="90"/>
      <c r="T91" s="90"/>
      <c r="U91" s="167"/>
      <c r="V91" s="168"/>
      <c r="W91" s="168"/>
      <c r="X91" s="168"/>
      <c r="Y91" s="168"/>
      <c r="Z91" s="90"/>
      <c r="AA91" s="90"/>
      <c r="AB91" s="167"/>
      <c r="AC91" s="168"/>
      <c r="AD91" s="168"/>
      <c r="AE91" s="168"/>
      <c r="AF91" s="168"/>
      <c r="AG91" s="168"/>
      <c r="AH91" s="90"/>
      <c r="AI91" s="90"/>
      <c r="AJ91" s="90"/>
    </row>
    <row r="92" spans="2:36" x14ac:dyDescent="0.25">
      <c r="B92" s="90"/>
      <c r="C92" s="90"/>
      <c r="D92" s="90"/>
      <c r="E92" s="90"/>
      <c r="F92" s="90"/>
      <c r="G92" s="90"/>
      <c r="H92" s="90"/>
      <c r="I92" s="167"/>
      <c r="J92" s="168"/>
      <c r="K92" s="168"/>
      <c r="L92" s="168"/>
      <c r="M92" s="168"/>
      <c r="N92" s="168"/>
      <c r="O92" s="90"/>
      <c r="P92" s="90"/>
      <c r="Q92" s="90"/>
      <c r="R92" s="90"/>
      <c r="S92" s="90"/>
      <c r="T92" s="90"/>
      <c r="U92" s="167"/>
      <c r="V92" s="168"/>
      <c r="W92" s="168"/>
      <c r="X92" s="168"/>
      <c r="Y92" s="168"/>
      <c r="Z92" s="90"/>
      <c r="AA92" s="90"/>
      <c r="AB92" s="167"/>
      <c r="AC92" s="168"/>
      <c r="AD92" s="168"/>
      <c r="AE92" s="168"/>
      <c r="AF92" s="168"/>
      <c r="AG92" s="168"/>
      <c r="AH92" s="90"/>
      <c r="AI92" s="90"/>
      <c r="AJ92" s="90"/>
    </row>
    <row r="93" spans="2:36" x14ac:dyDescent="0.25">
      <c r="B93" s="90"/>
      <c r="C93" s="90"/>
      <c r="D93" s="90"/>
      <c r="E93" s="90"/>
      <c r="F93" s="90"/>
      <c r="G93" s="90"/>
      <c r="H93" s="90"/>
      <c r="I93" s="167"/>
      <c r="J93" s="168"/>
      <c r="K93" s="168"/>
      <c r="L93" s="168"/>
      <c r="M93" s="168"/>
      <c r="N93" s="168"/>
      <c r="O93" s="90"/>
      <c r="P93" s="90"/>
      <c r="Q93" s="90"/>
      <c r="R93" s="90"/>
      <c r="S93" s="90"/>
      <c r="T93" s="90"/>
      <c r="U93" s="167"/>
      <c r="V93" s="168"/>
      <c r="W93" s="168"/>
      <c r="X93" s="168"/>
      <c r="Y93" s="168"/>
      <c r="Z93" s="90"/>
      <c r="AA93" s="90"/>
      <c r="AB93" s="167"/>
      <c r="AC93" s="168"/>
      <c r="AD93" s="168"/>
      <c r="AE93" s="168"/>
      <c r="AF93" s="168"/>
      <c r="AG93" s="168"/>
      <c r="AH93" s="90"/>
      <c r="AI93" s="90"/>
      <c r="AJ93" s="90"/>
    </row>
    <row r="94" spans="2:36" x14ac:dyDescent="0.25">
      <c r="B94" s="90"/>
      <c r="C94" s="90"/>
      <c r="D94" s="90"/>
      <c r="E94" s="90"/>
      <c r="F94" s="90"/>
      <c r="G94" s="90"/>
      <c r="H94" s="90"/>
      <c r="I94" s="167"/>
      <c r="J94" s="168"/>
      <c r="K94" s="168"/>
      <c r="L94" s="168"/>
      <c r="M94" s="168"/>
      <c r="N94" s="168"/>
      <c r="O94" s="90"/>
      <c r="P94" s="90"/>
      <c r="Q94" s="90"/>
      <c r="R94" s="90"/>
      <c r="S94" s="90"/>
      <c r="T94" s="90"/>
      <c r="U94" s="167"/>
      <c r="V94" s="168"/>
      <c r="W94" s="168"/>
      <c r="X94" s="168"/>
      <c r="Y94" s="168"/>
      <c r="Z94" s="90"/>
      <c r="AA94" s="90"/>
      <c r="AB94" s="167"/>
      <c r="AC94" s="168"/>
      <c r="AD94" s="168"/>
      <c r="AE94" s="168"/>
      <c r="AF94" s="168"/>
      <c r="AG94" s="168"/>
      <c r="AH94" s="90"/>
      <c r="AI94" s="90"/>
      <c r="AJ94" s="90"/>
    </row>
    <row r="95" spans="2:36" x14ac:dyDescent="0.25">
      <c r="B95" s="90"/>
      <c r="C95" s="90"/>
      <c r="D95" s="90"/>
      <c r="E95" s="90"/>
      <c r="F95" s="90"/>
      <c r="G95" s="90"/>
      <c r="H95" s="90"/>
      <c r="I95" s="167"/>
      <c r="J95" s="168"/>
      <c r="K95" s="168"/>
      <c r="L95" s="168"/>
      <c r="M95" s="168"/>
      <c r="N95" s="168"/>
      <c r="O95" s="90"/>
      <c r="P95" s="90"/>
      <c r="Q95" s="90"/>
      <c r="R95" s="90"/>
      <c r="S95" s="90"/>
      <c r="T95" s="90"/>
      <c r="U95" s="167"/>
      <c r="V95" s="168"/>
      <c r="W95" s="168"/>
      <c r="X95" s="168"/>
      <c r="Y95" s="168"/>
      <c r="Z95" s="90"/>
      <c r="AA95" s="90"/>
      <c r="AB95" s="167"/>
      <c r="AC95" s="168"/>
      <c r="AD95" s="168"/>
      <c r="AE95" s="168"/>
      <c r="AF95" s="168"/>
      <c r="AG95" s="168"/>
      <c r="AH95" s="90"/>
      <c r="AI95" s="90"/>
      <c r="AJ95" s="90"/>
    </row>
    <row r="96" spans="2:36" x14ac:dyDescent="0.25">
      <c r="B96" s="90"/>
      <c r="C96" s="90"/>
      <c r="D96" s="90"/>
      <c r="E96" s="90"/>
      <c r="F96" s="90"/>
      <c r="G96" s="90"/>
      <c r="H96" s="90"/>
      <c r="I96" s="167"/>
      <c r="J96" s="168"/>
      <c r="K96" s="168"/>
      <c r="L96" s="168"/>
      <c r="M96" s="168"/>
      <c r="N96" s="168"/>
      <c r="O96" s="90"/>
      <c r="P96" s="90"/>
      <c r="Q96" s="90"/>
      <c r="R96" s="90"/>
      <c r="S96" s="90"/>
      <c r="T96" s="90"/>
      <c r="U96" s="167"/>
      <c r="V96" s="168"/>
      <c r="W96" s="168"/>
      <c r="X96" s="168"/>
      <c r="Y96" s="168"/>
      <c r="Z96" s="90"/>
      <c r="AA96" s="90"/>
      <c r="AB96" s="167"/>
      <c r="AC96" s="168"/>
      <c r="AD96" s="168"/>
      <c r="AE96" s="168"/>
      <c r="AF96" s="168"/>
      <c r="AG96" s="168"/>
      <c r="AH96" s="90"/>
      <c r="AI96" s="90"/>
      <c r="AJ96" s="90"/>
    </row>
    <row r="97" spans="2:36" x14ac:dyDescent="0.25">
      <c r="B97" s="90"/>
      <c r="C97" s="90"/>
      <c r="D97" s="90"/>
      <c r="E97" s="90"/>
      <c r="F97" s="90"/>
      <c r="G97" s="90"/>
      <c r="H97" s="90"/>
      <c r="I97" s="167"/>
      <c r="J97" s="168"/>
      <c r="K97" s="168"/>
      <c r="L97" s="168"/>
      <c r="M97" s="168"/>
      <c r="N97" s="168"/>
      <c r="O97" s="90"/>
      <c r="P97" s="90"/>
      <c r="Q97" s="90"/>
      <c r="R97" s="90"/>
      <c r="S97" s="90"/>
      <c r="T97" s="90"/>
      <c r="U97" s="167"/>
      <c r="V97" s="168"/>
      <c r="W97" s="168"/>
      <c r="X97" s="168"/>
      <c r="Y97" s="168"/>
      <c r="Z97" s="90"/>
      <c r="AA97" s="90"/>
      <c r="AB97" s="167"/>
      <c r="AC97" s="168"/>
      <c r="AD97" s="168"/>
      <c r="AE97" s="168"/>
      <c r="AF97" s="168"/>
      <c r="AG97" s="168"/>
      <c r="AH97" s="90"/>
      <c r="AI97" s="90"/>
      <c r="AJ97" s="90"/>
    </row>
    <row r="98" spans="2:36" x14ac:dyDescent="0.25">
      <c r="B98" s="90"/>
      <c r="C98" s="90"/>
      <c r="D98" s="90"/>
      <c r="E98" s="90"/>
      <c r="F98" s="90"/>
      <c r="G98" s="90"/>
      <c r="H98" s="90"/>
      <c r="I98" s="167"/>
      <c r="J98" s="168"/>
      <c r="K98" s="168"/>
      <c r="L98" s="168"/>
      <c r="M98" s="168"/>
      <c r="N98" s="168"/>
      <c r="O98" s="90"/>
      <c r="P98" s="90"/>
      <c r="Q98" s="90"/>
      <c r="R98" s="90"/>
      <c r="S98" s="90"/>
      <c r="T98" s="90"/>
      <c r="U98" s="167"/>
      <c r="V98" s="168"/>
      <c r="W98" s="168"/>
      <c r="X98" s="168"/>
      <c r="Y98" s="168"/>
      <c r="Z98" s="90"/>
      <c r="AA98" s="90"/>
      <c r="AB98" s="167"/>
      <c r="AC98" s="168"/>
      <c r="AD98" s="168"/>
      <c r="AE98" s="168"/>
      <c r="AF98" s="168"/>
      <c r="AG98" s="168"/>
      <c r="AH98" s="90"/>
      <c r="AI98" s="90"/>
      <c r="AJ98" s="90"/>
    </row>
    <row r="99" spans="2:36" x14ac:dyDescent="0.25">
      <c r="B99" s="90"/>
      <c r="C99" s="90"/>
      <c r="D99" s="90"/>
      <c r="E99" s="90"/>
      <c r="F99" s="90"/>
      <c r="G99" s="90"/>
      <c r="H99" s="90"/>
      <c r="I99" s="167"/>
      <c r="J99" s="168"/>
      <c r="K99" s="168"/>
      <c r="L99" s="168"/>
      <c r="M99" s="168"/>
      <c r="N99" s="168"/>
      <c r="O99" s="90"/>
      <c r="P99" s="90"/>
      <c r="Q99" s="90"/>
      <c r="R99" s="90"/>
      <c r="S99" s="90"/>
      <c r="T99" s="90"/>
      <c r="U99" s="167"/>
      <c r="V99" s="168"/>
      <c r="W99" s="168"/>
      <c r="X99" s="168"/>
      <c r="Y99" s="168"/>
      <c r="Z99" s="90"/>
      <c r="AA99" s="90"/>
      <c r="AB99" s="167"/>
      <c r="AC99" s="168"/>
      <c r="AD99" s="168"/>
      <c r="AE99" s="168"/>
      <c r="AF99" s="168"/>
      <c r="AG99" s="168"/>
      <c r="AH99" s="90"/>
      <c r="AI99" s="90"/>
      <c r="AJ99" s="90"/>
    </row>
    <row r="100" spans="2:36" x14ac:dyDescent="0.25">
      <c r="B100" s="90"/>
      <c r="C100" s="90"/>
      <c r="D100" s="90"/>
      <c r="E100" s="90"/>
      <c r="F100" s="90"/>
      <c r="G100" s="90"/>
      <c r="H100" s="90"/>
      <c r="I100" s="167"/>
      <c r="J100" s="168"/>
      <c r="K100" s="168"/>
      <c r="L100" s="168"/>
      <c r="M100" s="168"/>
      <c r="N100" s="168"/>
      <c r="O100" s="90"/>
      <c r="P100" s="90"/>
      <c r="Q100" s="90"/>
      <c r="R100" s="90"/>
      <c r="S100" s="90"/>
      <c r="T100" s="90"/>
      <c r="U100" s="167"/>
      <c r="V100" s="168"/>
      <c r="W100" s="168"/>
      <c r="X100" s="168"/>
      <c r="Y100" s="168"/>
      <c r="Z100" s="90"/>
      <c r="AA100" s="90"/>
      <c r="AB100" s="167"/>
      <c r="AC100" s="168"/>
      <c r="AD100" s="168"/>
      <c r="AE100" s="168"/>
      <c r="AF100" s="168"/>
      <c r="AG100" s="168"/>
      <c r="AH100" s="90"/>
      <c r="AI100" s="90"/>
      <c r="AJ100" s="90"/>
    </row>
    <row r="101" spans="2:36" x14ac:dyDescent="0.25">
      <c r="B101" s="90"/>
      <c r="C101" s="90"/>
      <c r="D101" s="90"/>
      <c r="E101" s="90"/>
      <c r="F101" s="90"/>
      <c r="G101" s="90"/>
      <c r="H101" s="90"/>
      <c r="I101" s="167"/>
      <c r="J101" s="168"/>
      <c r="K101" s="168"/>
      <c r="L101" s="168"/>
      <c r="M101" s="168"/>
      <c r="N101" s="168"/>
      <c r="O101" s="90"/>
      <c r="P101" s="90"/>
      <c r="Q101" s="90"/>
      <c r="R101" s="90"/>
      <c r="S101" s="90"/>
      <c r="T101" s="90"/>
      <c r="U101" s="167"/>
      <c r="V101" s="168"/>
      <c r="W101" s="168"/>
      <c r="X101" s="168"/>
      <c r="Y101" s="168"/>
      <c r="Z101" s="90"/>
      <c r="AA101" s="90"/>
      <c r="AB101" s="167"/>
      <c r="AC101" s="168"/>
      <c r="AD101" s="168"/>
      <c r="AE101" s="168"/>
      <c r="AF101" s="168"/>
      <c r="AG101" s="168"/>
      <c r="AH101" s="90"/>
      <c r="AI101" s="90"/>
      <c r="AJ101" s="90"/>
    </row>
    <row r="102" spans="2:36" x14ac:dyDescent="0.25">
      <c r="B102" s="90"/>
      <c r="C102" s="90"/>
      <c r="D102" s="90"/>
      <c r="E102" s="90"/>
      <c r="F102" s="90"/>
      <c r="G102" s="90"/>
      <c r="H102" s="90"/>
      <c r="I102" s="167"/>
      <c r="J102" s="168"/>
      <c r="K102" s="168"/>
      <c r="L102" s="168"/>
      <c r="M102" s="168"/>
      <c r="N102" s="168"/>
      <c r="O102" s="90"/>
      <c r="P102" s="90"/>
      <c r="Q102" s="90"/>
      <c r="R102" s="90"/>
      <c r="S102" s="90"/>
      <c r="T102" s="90"/>
      <c r="U102" s="167"/>
      <c r="V102" s="168"/>
      <c r="W102" s="168"/>
      <c r="X102" s="168"/>
      <c r="Y102" s="168"/>
      <c r="Z102" s="90"/>
      <c r="AA102" s="90"/>
      <c r="AB102" s="167"/>
      <c r="AC102" s="168"/>
      <c r="AD102" s="168"/>
      <c r="AE102" s="168"/>
      <c r="AF102" s="168"/>
      <c r="AG102" s="168"/>
      <c r="AH102" s="90"/>
      <c r="AI102" s="90"/>
      <c r="AJ102" s="90"/>
    </row>
    <row r="103" spans="2:36" x14ac:dyDescent="0.25">
      <c r="B103" s="90"/>
      <c r="C103" s="90"/>
      <c r="D103" s="90"/>
      <c r="E103" s="90"/>
      <c r="F103" s="90"/>
      <c r="G103" s="90"/>
      <c r="H103" s="90"/>
      <c r="I103" s="167"/>
      <c r="J103" s="168"/>
      <c r="K103" s="168"/>
      <c r="L103" s="168"/>
      <c r="M103" s="168"/>
      <c r="N103" s="168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167"/>
      <c r="AC103" s="168"/>
      <c r="AD103" s="168"/>
      <c r="AE103" s="168"/>
      <c r="AF103" s="168"/>
      <c r="AG103" s="168"/>
      <c r="AH103" s="90"/>
      <c r="AI103" s="90"/>
      <c r="AJ103" s="90"/>
    </row>
    <row r="104" spans="2:36" x14ac:dyDescent="0.25">
      <c r="B104" s="90"/>
      <c r="C104" s="90"/>
      <c r="D104" s="90"/>
      <c r="E104" s="90"/>
      <c r="F104" s="90"/>
      <c r="G104" s="90"/>
      <c r="H104" s="90"/>
      <c r="I104" s="167"/>
      <c r="J104" s="168"/>
      <c r="K104" s="168"/>
      <c r="L104" s="168"/>
      <c r="M104" s="168"/>
      <c r="N104" s="168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167"/>
      <c r="AC104" s="168"/>
      <c r="AD104" s="168"/>
      <c r="AE104" s="168"/>
      <c r="AF104" s="168"/>
      <c r="AG104" s="168"/>
      <c r="AH104" s="90"/>
      <c r="AI104" s="90"/>
      <c r="AJ104" s="90"/>
    </row>
    <row r="105" spans="2:36" x14ac:dyDescent="0.25">
      <c r="B105" s="90"/>
      <c r="C105" s="90"/>
      <c r="D105" s="90"/>
      <c r="E105" s="90"/>
      <c r="F105" s="90"/>
      <c r="G105" s="90"/>
      <c r="H105" s="90"/>
      <c r="I105" s="167"/>
      <c r="J105" s="168"/>
      <c r="K105" s="168"/>
      <c r="L105" s="168"/>
      <c r="M105" s="168"/>
      <c r="N105" s="168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167"/>
      <c r="AC105" s="168"/>
      <c r="AD105" s="168"/>
      <c r="AE105" s="168"/>
      <c r="AF105" s="168"/>
      <c r="AG105" s="168"/>
      <c r="AH105" s="90"/>
      <c r="AI105" s="90"/>
      <c r="AJ105" s="90"/>
    </row>
    <row r="106" spans="2:36" x14ac:dyDescent="0.25">
      <c r="B106" s="90"/>
      <c r="C106" s="90"/>
      <c r="D106" s="90"/>
      <c r="E106" s="90"/>
      <c r="F106" s="90"/>
      <c r="G106" s="90"/>
      <c r="H106" s="90"/>
      <c r="I106" s="167"/>
      <c r="J106" s="168"/>
      <c r="K106" s="168"/>
      <c r="L106" s="168"/>
      <c r="M106" s="168"/>
      <c r="N106" s="168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</row>
    <row r="107" spans="2:36" x14ac:dyDescent="0.25">
      <c r="B107" s="90"/>
      <c r="C107" s="90"/>
      <c r="D107" s="90"/>
      <c r="E107" s="90"/>
      <c r="F107" s="90"/>
      <c r="G107" s="90"/>
      <c r="H107" s="90"/>
      <c r="I107" s="169"/>
      <c r="J107" s="169"/>
      <c r="K107" s="169"/>
      <c r="L107" s="169"/>
      <c r="M107" s="169"/>
      <c r="N107" s="169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169"/>
      <c r="AC107" s="169"/>
      <c r="AD107" s="169"/>
      <c r="AE107" s="169"/>
      <c r="AF107" s="169"/>
      <c r="AG107" s="169"/>
      <c r="AH107" s="90"/>
      <c r="AI107" s="90"/>
      <c r="AJ107" s="90"/>
    </row>
    <row r="108" spans="2:36" x14ac:dyDescent="0.25">
      <c r="B108" s="90"/>
      <c r="C108" s="90"/>
      <c r="D108" s="90"/>
      <c r="E108" s="90"/>
      <c r="F108" s="90"/>
      <c r="G108" s="90"/>
      <c r="H108" s="90"/>
      <c r="I108" s="167"/>
      <c r="J108" s="168"/>
      <c r="K108" s="90"/>
      <c r="L108" s="168"/>
      <c r="M108" s="168"/>
      <c r="N108" s="168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167"/>
      <c r="AC108" s="168"/>
      <c r="AD108" s="90"/>
      <c r="AE108" s="90"/>
      <c r="AF108" s="90"/>
      <c r="AG108" s="90"/>
      <c r="AH108" s="90"/>
      <c r="AI108" s="90"/>
      <c r="AJ108" s="90"/>
    </row>
    <row r="109" spans="2:36" x14ac:dyDescent="0.25">
      <c r="B109" s="90"/>
      <c r="C109" s="90"/>
      <c r="D109" s="90"/>
      <c r="E109" s="90"/>
      <c r="F109" s="90"/>
      <c r="G109" s="90"/>
      <c r="H109" s="90"/>
      <c r="I109" s="167"/>
      <c r="J109" s="168"/>
      <c r="K109" s="90"/>
      <c r="L109" s="168"/>
      <c r="M109" s="168"/>
      <c r="N109" s="168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167"/>
      <c r="AC109" s="168"/>
      <c r="AD109" s="90"/>
      <c r="AE109" s="90"/>
      <c r="AF109" s="90"/>
      <c r="AG109" s="90"/>
      <c r="AH109" s="90"/>
      <c r="AI109" s="90"/>
      <c r="AJ109" s="90"/>
    </row>
    <row r="110" spans="2:36" x14ac:dyDescent="0.25">
      <c r="B110" s="90"/>
      <c r="C110" s="90"/>
      <c r="D110" s="90"/>
      <c r="E110" s="90"/>
      <c r="F110" s="90"/>
      <c r="G110" s="90"/>
      <c r="H110" s="90"/>
      <c r="I110" s="167"/>
      <c r="J110" s="168"/>
      <c r="K110" s="90"/>
      <c r="L110" s="168"/>
      <c r="M110" s="168"/>
      <c r="N110" s="168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167"/>
      <c r="AC110" s="168"/>
      <c r="AD110" s="90"/>
      <c r="AE110" s="90"/>
      <c r="AF110" s="90"/>
      <c r="AG110" s="90"/>
      <c r="AH110" s="90"/>
      <c r="AI110" s="90"/>
      <c r="AJ110" s="90"/>
    </row>
    <row r="111" spans="2:36" x14ac:dyDescent="0.25">
      <c r="B111" s="90"/>
      <c r="C111" s="90"/>
      <c r="D111" s="90"/>
      <c r="E111" s="90"/>
      <c r="F111" s="90"/>
      <c r="G111" s="90"/>
      <c r="H111" s="90"/>
      <c r="I111" s="167"/>
      <c r="J111" s="168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167"/>
      <c r="AC111" s="168"/>
      <c r="AD111" s="90"/>
      <c r="AE111" s="90"/>
      <c r="AF111" s="90"/>
      <c r="AG111" s="90"/>
      <c r="AH111" s="90"/>
      <c r="AI111" s="90"/>
      <c r="AJ111" s="90"/>
    </row>
    <row r="112" spans="2:36" x14ac:dyDescent="0.25">
      <c r="B112" s="90"/>
      <c r="C112" s="90"/>
      <c r="D112" s="90"/>
      <c r="E112" s="90"/>
      <c r="F112" s="90"/>
      <c r="G112" s="90"/>
      <c r="H112" s="90"/>
      <c r="I112" s="167"/>
      <c r="J112" s="168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167"/>
      <c r="AC112" s="168"/>
      <c r="AD112" s="90"/>
      <c r="AE112" s="90"/>
      <c r="AF112" s="90"/>
      <c r="AG112" s="90"/>
      <c r="AH112" s="90"/>
      <c r="AI112" s="90"/>
      <c r="AJ112" s="90"/>
    </row>
    <row r="113" spans="2:36" x14ac:dyDescent="0.25">
      <c r="B113" s="90"/>
      <c r="C113" s="90"/>
      <c r="D113" s="90"/>
      <c r="E113" s="90"/>
      <c r="F113" s="90"/>
      <c r="G113" s="90"/>
      <c r="H113" s="90"/>
      <c r="I113" s="167"/>
      <c r="J113" s="168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167"/>
      <c r="AC113" s="168"/>
      <c r="AD113" s="90"/>
      <c r="AE113" s="90"/>
      <c r="AF113" s="90"/>
      <c r="AG113" s="90"/>
      <c r="AH113" s="90"/>
      <c r="AI113" s="90"/>
      <c r="AJ113" s="90"/>
    </row>
    <row r="114" spans="2:36" x14ac:dyDescent="0.25">
      <c r="B114" s="90"/>
      <c r="C114" s="90"/>
      <c r="D114" s="90"/>
      <c r="E114" s="90"/>
      <c r="F114" s="90"/>
      <c r="G114" s="90"/>
      <c r="H114" s="90"/>
      <c r="I114" s="167"/>
      <c r="J114" s="168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167"/>
      <c r="AC114" s="168"/>
      <c r="AD114" s="90"/>
      <c r="AE114" s="90"/>
      <c r="AF114" s="90"/>
      <c r="AG114" s="90"/>
      <c r="AH114" s="90"/>
      <c r="AI114" s="90"/>
      <c r="AJ114" s="90"/>
    </row>
    <row r="115" spans="2:36" x14ac:dyDescent="0.25">
      <c r="B115" s="90"/>
      <c r="C115" s="90"/>
      <c r="D115" s="90"/>
      <c r="E115" s="90"/>
      <c r="F115" s="90"/>
      <c r="G115" s="90"/>
      <c r="H115" s="90"/>
      <c r="I115" s="167"/>
      <c r="J115" s="168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167"/>
      <c r="AC115" s="168"/>
      <c r="AD115" s="90"/>
      <c r="AE115" s="90"/>
      <c r="AF115" s="90"/>
      <c r="AG115" s="90"/>
      <c r="AH115" s="90"/>
      <c r="AI115" s="90"/>
      <c r="AJ115" s="90"/>
    </row>
    <row r="116" spans="2:36" x14ac:dyDescent="0.25">
      <c r="B116" s="90"/>
      <c r="C116" s="90"/>
      <c r="D116" s="90"/>
      <c r="E116" s="90"/>
      <c r="F116" s="90"/>
      <c r="G116" s="90"/>
      <c r="H116" s="90"/>
      <c r="I116" s="167"/>
      <c r="J116" s="168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167"/>
      <c r="AC116" s="168"/>
      <c r="AD116" s="90"/>
      <c r="AE116" s="90"/>
      <c r="AF116" s="90"/>
      <c r="AG116" s="90"/>
      <c r="AH116" s="90"/>
      <c r="AI116" s="90"/>
      <c r="AJ116" s="90"/>
    </row>
    <row r="117" spans="2:36" x14ac:dyDescent="0.25">
      <c r="B117" s="90"/>
      <c r="C117" s="90"/>
      <c r="D117" s="90"/>
      <c r="E117" s="90"/>
      <c r="F117" s="90"/>
      <c r="G117" s="90"/>
      <c r="H117" s="90"/>
      <c r="I117" s="167"/>
      <c r="J117" s="168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167"/>
      <c r="AC117" s="168"/>
      <c r="AD117" s="90"/>
      <c r="AE117" s="90"/>
      <c r="AF117" s="90"/>
      <c r="AG117" s="90"/>
      <c r="AH117" s="90"/>
      <c r="AI117" s="90"/>
      <c r="AJ117" s="90"/>
    </row>
    <row r="118" spans="2:36" x14ac:dyDescent="0.25">
      <c r="B118" s="90"/>
      <c r="C118" s="90"/>
      <c r="D118" s="90"/>
      <c r="E118" s="90"/>
      <c r="F118" s="90"/>
      <c r="G118" s="90"/>
      <c r="H118" s="90"/>
      <c r="I118" s="167"/>
      <c r="J118" s="168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167"/>
      <c r="AC118" s="168"/>
      <c r="AD118" s="90"/>
      <c r="AE118" s="90"/>
      <c r="AF118" s="90"/>
      <c r="AG118" s="90"/>
      <c r="AH118" s="90"/>
      <c r="AI118" s="90"/>
      <c r="AJ118" s="90"/>
    </row>
    <row r="119" spans="2:36" x14ac:dyDescent="0.25">
      <c r="B119" s="90"/>
      <c r="C119" s="90"/>
      <c r="D119" s="90"/>
      <c r="E119" s="90"/>
      <c r="F119" s="90"/>
      <c r="G119" s="90"/>
      <c r="H119" s="90"/>
      <c r="I119" s="167"/>
      <c r="J119" s="168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167"/>
      <c r="AC119" s="168"/>
      <c r="AD119" s="90"/>
      <c r="AE119" s="90"/>
      <c r="AF119" s="90"/>
      <c r="AG119" s="90"/>
      <c r="AH119" s="90"/>
      <c r="AI119" s="90"/>
      <c r="AJ119" s="90"/>
    </row>
    <row r="120" spans="2:36" x14ac:dyDescent="0.25">
      <c r="B120" s="90"/>
      <c r="C120" s="90"/>
      <c r="D120" s="90"/>
      <c r="E120" s="90"/>
      <c r="F120" s="90"/>
      <c r="G120" s="90"/>
      <c r="H120" s="90"/>
      <c r="I120" s="167"/>
      <c r="J120" s="168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167"/>
      <c r="AC120" s="168"/>
      <c r="AD120" s="90"/>
      <c r="AE120" s="90"/>
      <c r="AF120" s="90"/>
      <c r="AG120" s="90"/>
      <c r="AH120" s="90"/>
      <c r="AI120" s="90"/>
      <c r="AJ120" s="90"/>
    </row>
    <row r="121" spans="2:36" x14ac:dyDescent="0.2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</row>
    <row r="122" spans="2:36" x14ac:dyDescent="0.25">
      <c r="B122" s="90"/>
      <c r="C122" s="90"/>
      <c r="D122" s="90"/>
      <c r="E122" s="90"/>
      <c r="F122" s="90"/>
      <c r="G122" s="90"/>
      <c r="H122" s="90"/>
      <c r="I122" s="167"/>
      <c r="J122" s="168"/>
      <c r="K122" s="168"/>
      <c r="L122" s="168"/>
      <c r="M122" s="168"/>
      <c r="N122" s="168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167"/>
      <c r="AC122" s="168"/>
      <c r="AD122" s="168"/>
      <c r="AE122" s="168"/>
      <c r="AF122" s="168"/>
      <c r="AG122" s="168"/>
      <c r="AH122" s="90"/>
      <c r="AI122" s="90"/>
      <c r="AJ122" s="90"/>
    </row>
    <row r="123" spans="2:36" x14ac:dyDescent="0.25">
      <c r="B123" s="90"/>
      <c r="C123" s="90"/>
      <c r="D123" s="90"/>
      <c r="E123" s="90"/>
      <c r="F123" s="90"/>
      <c r="G123" s="90"/>
      <c r="H123" s="90"/>
      <c r="I123" s="167"/>
      <c r="J123" s="168"/>
      <c r="K123" s="168"/>
      <c r="L123" s="168"/>
      <c r="M123" s="168"/>
      <c r="N123" s="168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167"/>
      <c r="AC123" s="168"/>
      <c r="AD123" s="168"/>
      <c r="AE123" s="168"/>
      <c r="AF123" s="168"/>
      <c r="AG123" s="168"/>
      <c r="AH123" s="90"/>
      <c r="AI123" s="90"/>
      <c r="AJ123" s="90"/>
    </row>
    <row r="124" spans="2:36" x14ac:dyDescent="0.25">
      <c r="B124" s="90"/>
      <c r="C124" s="90"/>
      <c r="D124" s="90"/>
      <c r="E124" s="90"/>
      <c r="F124" s="90"/>
      <c r="G124" s="90"/>
      <c r="H124" s="90"/>
      <c r="I124" s="167"/>
      <c r="J124" s="168"/>
      <c r="K124" s="168"/>
      <c r="L124" s="168"/>
      <c r="M124" s="168"/>
      <c r="N124" s="168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167"/>
      <c r="AC124" s="168"/>
      <c r="AD124" s="168"/>
      <c r="AE124" s="168"/>
      <c r="AF124" s="168"/>
      <c r="AG124" s="168"/>
      <c r="AH124" s="90"/>
      <c r="AI124" s="90"/>
      <c r="AJ124" s="90"/>
    </row>
    <row r="125" spans="2:36" x14ac:dyDescent="0.25">
      <c r="B125" s="90"/>
      <c r="C125" s="90"/>
      <c r="D125" s="90"/>
      <c r="E125" s="90"/>
      <c r="F125" s="90"/>
      <c r="G125" s="90"/>
      <c r="H125" s="90"/>
      <c r="I125" s="167"/>
      <c r="J125" s="168"/>
      <c r="K125" s="168"/>
      <c r="L125" s="168"/>
      <c r="M125" s="168"/>
      <c r="N125" s="168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167"/>
      <c r="AC125" s="168"/>
      <c r="AD125" s="168"/>
      <c r="AE125" s="168"/>
      <c r="AF125" s="168"/>
      <c r="AG125" s="168"/>
      <c r="AH125" s="90"/>
      <c r="AI125" s="90"/>
      <c r="AJ125" s="90"/>
    </row>
    <row r="126" spans="2:36" x14ac:dyDescent="0.25">
      <c r="B126" s="90"/>
      <c r="C126" s="90"/>
      <c r="D126" s="90"/>
      <c r="E126" s="90"/>
      <c r="F126" s="90"/>
      <c r="G126" s="90"/>
      <c r="H126" s="90"/>
      <c r="I126" s="167"/>
      <c r="J126" s="168"/>
      <c r="K126" s="168"/>
      <c r="L126" s="168"/>
      <c r="M126" s="168"/>
      <c r="N126" s="168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167"/>
      <c r="AC126" s="168"/>
      <c r="AD126" s="168"/>
      <c r="AE126" s="168"/>
      <c r="AF126" s="168"/>
      <c r="AG126" s="168"/>
      <c r="AH126" s="90"/>
      <c r="AI126" s="90"/>
      <c r="AJ126" s="90"/>
    </row>
    <row r="127" spans="2:36" x14ac:dyDescent="0.25">
      <c r="B127" s="90"/>
      <c r="C127" s="90"/>
      <c r="D127" s="90"/>
      <c r="E127" s="90"/>
      <c r="F127" s="90"/>
      <c r="G127" s="90"/>
      <c r="H127" s="90"/>
      <c r="I127" s="167"/>
      <c r="J127" s="168"/>
      <c r="K127" s="168"/>
      <c r="L127" s="168"/>
      <c r="M127" s="168"/>
      <c r="N127" s="168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167"/>
      <c r="AC127" s="168"/>
      <c r="AD127" s="168"/>
      <c r="AE127" s="168"/>
      <c r="AF127" s="168"/>
      <c r="AG127" s="168"/>
      <c r="AH127" s="90"/>
      <c r="AI127" s="90"/>
      <c r="AJ127" s="90"/>
    </row>
    <row r="128" spans="2:36" x14ac:dyDescent="0.25">
      <c r="B128" s="90"/>
      <c r="C128" s="90"/>
      <c r="D128" s="90"/>
      <c r="E128" s="90"/>
      <c r="F128" s="90"/>
      <c r="G128" s="90"/>
      <c r="H128" s="90"/>
      <c r="I128" s="167"/>
      <c r="J128" s="168"/>
      <c r="K128" s="168"/>
      <c r="L128" s="168"/>
      <c r="M128" s="168"/>
      <c r="N128" s="168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167"/>
      <c r="AC128" s="168"/>
      <c r="AD128" s="168"/>
      <c r="AE128" s="168"/>
      <c r="AF128" s="168"/>
      <c r="AG128" s="168"/>
      <c r="AH128" s="90"/>
      <c r="AI128" s="90"/>
      <c r="AJ128" s="90"/>
    </row>
    <row r="129" spans="2:36" x14ac:dyDescent="0.25">
      <c r="B129" s="90"/>
      <c r="C129" s="90"/>
      <c r="D129" s="90"/>
      <c r="E129" s="90"/>
      <c r="F129" s="90"/>
      <c r="G129" s="90"/>
      <c r="H129" s="90"/>
      <c r="I129" s="167"/>
      <c r="J129" s="168"/>
      <c r="K129" s="168"/>
      <c r="L129" s="168"/>
      <c r="M129" s="168"/>
      <c r="N129" s="168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167"/>
      <c r="AC129" s="168"/>
      <c r="AD129" s="168"/>
      <c r="AE129" s="168"/>
      <c r="AF129" s="168"/>
      <c r="AG129" s="168"/>
      <c r="AH129" s="90"/>
      <c r="AI129" s="90"/>
      <c r="AJ129" s="90"/>
    </row>
    <row r="130" spans="2:36" x14ac:dyDescent="0.25">
      <c r="B130" s="90"/>
      <c r="C130" s="90"/>
      <c r="D130" s="90"/>
      <c r="E130" s="90"/>
      <c r="F130" s="90"/>
      <c r="G130" s="90"/>
      <c r="H130" s="90"/>
      <c r="I130" s="167"/>
      <c r="J130" s="168"/>
      <c r="K130" s="168"/>
      <c r="L130" s="168"/>
      <c r="M130" s="168"/>
      <c r="N130" s="168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167"/>
      <c r="AC130" s="168"/>
      <c r="AD130" s="168"/>
      <c r="AE130" s="168"/>
      <c r="AF130" s="168"/>
      <c r="AG130" s="168"/>
      <c r="AH130" s="90"/>
      <c r="AI130" s="90"/>
      <c r="AJ130" s="90"/>
    </row>
    <row r="131" spans="2:36" x14ac:dyDescent="0.25">
      <c r="B131" s="90"/>
      <c r="C131" s="90"/>
      <c r="D131" s="90"/>
      <c r="E131" s="90"/>
      <c r="F131" s="90"/>
      <c r="G131" s="90"/>
      <c r="H131" s="90"/>
      <c r="I131" s="167"/>
      <c r="J131" s="168"/>
      <c r="K131" s="168"/>
      <c r="L131" s="168"/>
      <c r="M131" s="168"/>
      <c r="N131" s="168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167"/>
      <c r="AC131" s="168"/>
      <c r="AD131" s="168"/>
      <c r="AE131" s="168"/>
      <c r="AF131" s="168"/>
      <c r="AG131" s="168"/>
      <c r="AH131" s="90"/>
      <c r="AI131" s="90"/>
      <c r="AJ131" s="90"/>
    </row>
    <row r="132" spans="2:36" x14ac:dyDescent="0.25">
      <c r="B132" s="90"/>
      <c r="C132" s="90"/>
      <c r="D132" s="90"/>
      <c r="E132" s="90"/>
      <c r="F132" s="90"/>
      <c r="G132" s="90"/>
      <c r="H132" s="90"/>
      <c r="I132" s="167"/>
      <c r="J132" s="168"/>
      <c r="K132" s="168"/>
      <c r="L132" s="168"/>
      <c r="M132" s="168"/>
      <c r="N132" s="168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167"/>
      <c r="AC132" s="168"/>
      <c r="AD132" s="168"/>
      <c r="AE132" s="168"/>
      <c r="AF132" s="168"/>
      <c r="AG132" s="168"/>
      <c r="AH132" s="90"/>
      <c r="AI132" s="90"/>
      <c r="AJ132" s="90"/>
    </row>
    <row r="133" spans="2:36" x14ac:dyDescent="0.25">
      <c r="B133" s="90"/>
      <c r="C133" s="90"/>
      <c r="D133" s="90"/>
      <c r="E133" s="90"/>
      <c r="F133" s="90"/>
      <c r="G133" s="90"/>
      <c r="H133" s="90"/>
      <c r="I133" s="167"/>
      <c r="J133" s="168"/>
      <c r="K133" s="168"/>
      <c r="L133" s="168"/>
      <c r="M133" s="168"/>
      <c r="N133" s="168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167"/>
      <c r="AC133" s="168"/>
      <c r="AD133" s="168"/>
      <c r="AE133" s="168"/>
      <c r="AF133" s="168"/>
      <c r="AG133" s="168"/>
      <c r="AH133" s="90"/>
      <c r="AI133" s="90"/>
      <c r="AJ133" s="90"/>
    </row>
    <row r="134" spans="2:36" x14ac:dyDescent="0.25">
      <c r="B134" s="90"/>
      <c r="C134" s="90"/>
      <c r="D134" s="90"/>
      <c r="E134" s="90"/>
      <c r="F134" s="90"/>
      <c r="G134" s="90"/>
      <c r="H134" s="90"/>
      <c r="I134" s="167"/>
      <c r="J134" s="168"/>
      <c r="K134" s="168"/>
      <c r="L134" s="168"/>
      <c r="M134" s="168"/>
      <c r="N134" s="168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167"/>
      <c r="AC134" s="168"/>
      <c r="AD134" s="168"/>
      <c r="AE134" s="168"/>
      <c r="AF134" s="168"/>
      <c r="AG134" s="168"/>
      <c r="AH134" s="90"/>
      <c r="AI134" s="90"/>
      <c r="AJ134" s="90"/>
    </row>
    <row r="135" spans="2:36" x14ac:dyDescent="0.25">
      <c r="B135" s="90"/>
      <c r="C135" s="90"/>
      <c r="D135" s="90"/>
      <c r="E135" s="90"/>
      <c r="F135" s="90"/>
      <c r="G135" s="90"/>
      <c r="H135" s="90"/>
      <c r="I135" s="167"/>
      <c r="J135" s="168"/>
      <c r="K135" s="168"/>
      <c r="L135" s="168"/>
      <c r="M135" s="168"/>
      <c r="N135" s="168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167"/>
      <c r="AC135" s="168"/>
      <c r="AD135" s="168"/>
      <c r="AE135" s="168"/>
      <c r="AF135" s="168"/>
      <c r="AG135" s="168"/>
      <c r="AH135" s="90"/>
      <c r="AI135" s="90"/>
      <c r="AJ135" s="90"/>
    </row>
    <row r="136" spans="2:36" x14ac:dyDescent="0.25">
      <c r="B136" s="90"/>
      <c r="C136" s="90"/>
      <c r="D136" s="90"/>
      <c r="E136" s="90"/>
      <c r="F136" s="90"/>
      <c r="G136" s="90"/>
      <c r="H136" s="90"/>
      <c r="I136" s="167"/>
      <c r="J136" s="168"/>
      <c r="K136" s="168"/>
      <c r="L136" s="168"/>
      <c r="M136" s="168"/>
      <c r="N136" s="168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167"/>
      <c r="AC136" s="168"/>
      <c r="AD136" s="168"/>
      <c r="AE136" s="168"/>
      <c r="AF136" s="168"/>
      <c r="AG136" s="168"/>
      <c r="AH136" s="90"/>
      <c r="AI136" s="90"/>
      <c r="AJ136" s="90"/>
    </row>
    <row r="137" spans="2:36" x14ac:dyDescent="0.25">
      <c r="B137" s="90"/>
      <c r="C137" s="90"/>
      <c r="D137" s="90"/>
      <c r="E137" s="90"/>
      <c r="F137" s="90"/>
      <c r="G137" s="90"/>
      <c r="H137" s="90"/>
      <c r="I137" s="167"/>
      <c r="J137" s="168"/>
      <c r="K137" s="168"/>
      <c r="L137" s="168"/>
      <c r="M137" s="168"/>
      <c r="N137" s="168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167"/>
      <c r="AC137" s="168"/>
      <c r="AD137" s="168"/>
      <c r="AE137" s="168"/>
      <c r="AF137" s="168"/>
      <c r="AG137" s="168"/>
      <c r="AH137" s="90"/>
      <c r="AI137" s="90"/>
      <c r="AJ137" s="90"/>
    </row>
    <row r="138" spans="2:36" x14ac:dyDescent="0.25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</row>
    <row r="139" spans="2:36" x14ac:dyDescent="0.25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</row>
    <row r="140" spans="2:36" x14ac:dyDescent="0.25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</row>
    <row r="141" spans="2:36" x14ac:dyDescent="0.25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</row>
  </sheetData>
  <mergeCells count="6">
    <mergeCell ref="L63:O63"/>
    <mergeCell ref="AD62:AG62"/>
    <mergeCell ref="B1:E1"/>
    <mergeCell ref="G1:J1"/>
    <mergeCell ref="U1:X1"/>
    <mergeCell ref="Z1:AC1"/>
  </mergeCells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4C7E-0E11-424C-BE71-215AB50FBD0A}">
  <dimension ref="A1:AX149"/>
  <sheetViews>
    <sheetView zoomScale="60" zoomScaleNormal="60" workbookViewId="0">
      <selection activeCell="AB21" sqref="AB21"/>
    </sheetView>
  </sheetViews>
  <sheetFormatPr defaultRowHeight="15" x14ac:dyDescent="0.25"/>
  <cols>
    <col min="3" max="3" width="23.140625" customWidth="1"/>
    <col min="4" max="4" width="21.28515625" customWidth="1"/>
    <col min="5" max="5" width="20.42578125" customWidth="1"/>
    <col min="9" max="9" width="13.7109375" customWidth="1"/>
    <col min="10" max="10" width="21.140625" customWidth="1"/>
    <col min="11" max="11" width="24.42578125" customWidth="1"/>
    <col min="12" max="12" width="31.28515625" customWidth="1"/>
    <col min="13" max="13" width="37.28515625" customWidth="1"/>
    <col min="16" max="16" width="18" customWidth="1"/>
    <col min="17" max="17" width="24.7109375" customWidth="1"/>
    <col min="18" max="18" width="33.28515625" customWidth="1"/>
    <col min="19" max="19" width="30.7109375" customWidth="1"/>
    <col min="20" max="20" width="35.28515625" customWidth="1"/>
    <col min="22" max="22" width="20.42578125" customWidth="1"/>
    <col min="23" max="23" width="22.28515625" customWidth="1"/>
    <col min="24" max="24" width="24.7109375" customWidth="1"/>
    <col min="25" max="25" width="22.28515625" customWidth="1"/>
    <col min="26" max="26" width="30.28515625" customWidth="1"/>
    <col min="27" max="27" width="42.42578125" customWidth="1"/>
    <col min="28" max="28" width="30.42578125" customWidth="1"/>
    <col min="29" max="29" width="20.5703125" customWidth="1"/>
  </cols>
  <sheetData>
    <row r="1" spans="1:50" x14ac:dyDescent="0.25">
      <c r="O1" s="317"/>
      <c r="P1" s="317"/>
      <c r="Q1" s="317"/>
      <c r="R1" s="317"/>
      <c r="AC1" s="90"/>
      <c r="AM1" s="95"/>
      <c r="AN1" s="95"/>
      <c r="AO1" s="95"/>
      <c r="AP1" s="95"/>
      <c r="AQ1" s="95"/>
      <c r="AR1" s="96"/>
      <c r="AS1" s="96"/>
      <c r="AT1" s="96"/>
      <c r="AU1" s="96"/>
      <c r="AV1" s="96"/>
      <c r="AW1" s="96"/>
      <c r="AX1" s="96"/>
    </row>
    <row r="2" spans="1:50" x14ac:dyDescent="0.25">
      <c r="A2" s="121" t="s">
        <v>269</v>
      </c>
      <c r="B2" s="121"/>
      <c r="C2" s="121"/>
      <c r="D2" s="121"/>
      <c r="E2" s="121"/>
      <c r="G2" s="119"/>
      <c r="O2" s="121" t="s">
        <v>270</v>
      </c>
      <c r="P2" s="121"/>
      <c r="Q2" s="121"/>
      <c r="R2" s="121"/>
      <c r="S2" s="121"/>
      <c r="T2" s="121"/>
      <c r="U2" s="121"/>
      <c r="V2" s="5"/>
      <c r="W2" s="5"/>
      <c r="X2" s="5"/>
      <c r="AC2" s="90"/>
      <c r="AM2" s="95"/>
      <c r="AN2" s="97"/>
      <c r="AO2" s="96"/>
      <c r="AP2" s="96"/>
      <c r="AQ2" s="96"/>
      <c r="AR2" s="96"/>
      <c r="AS2" s="314"/>
      <c r="AT2" s="314"/>
      <c r="AU2" s="96"/>
      <c r="AV2" s="96"/>
      <c r="AW2" s="96"/>
      <c r="AX2" s="96"/>
    </row>
    <row r="3" spans="1:50" x14ac:dyDescent="0.25">
      <c r="A3" s="3" t="s">
        <v>104</v>
      </c>
      <c r="B3" s="79" t="s">
        <v>3</v>
      </c>
      <c r="C3" s="79" t="s">
        <v>105</v>
      </c>
      <c r="D3" s="80" t="s">
        <v>106</v>
      </c>
      <c r="E3" s="81" t="s">
        <v>107</v>
      </c>
      <c r="F3" s="173" t="s">
        <v>274</v>
      </c>
      <c r="G3" s="98"/>
      <c r="I3" s="318" t="s">
        <v>110</v>
      </c>
      <c r="J3" s="319"/>
      <c r="K3" s="319"/>
      <c r="L3" s="319"/>
      <c r="M3" s="320"/>
      <c r="O3" s="87" t="s">
        <v>104</v>
      </c>
      <c r="P3" s="88" t="s">
        <v>268</v>
      </c>
      <c r="Q3" s="88" t="s">
        <v>273</v>
      </c>
      <c r="R3" s="94" t="s">
        <v>272</v>
      </c>
      <c r="S3" s="94" t="s">
        <v>271</v>
      </c>
      <c r="T3" s="100" t="s">
        <v>109</v>
      </c>
      <c r="U3" s="173" t="s">
        <v>274</v>
      </c>
      <c r="V3" s="323" t="s">
        <v>111</v>
      </c>
      <c r="W3" s="323"/>
      <c r="X3" s="323"/>
      <c r="Y3" s="323"/>
      <c r="Z3" s="323"/>
      <c r="AA3" s="323"/>
      <c r="AC3" s="158"/>
      <c r="AM3" s="95"/>
      <c r="AN3" s="97"/>
      <c r="AO3" s="96"/>
      <c r="AP3" s="96"/>
      <c r="AQ3" s="96"/>
      <c r="AR3" s="96"/>
      <c r="AS3" s="98"/>
      <c r="AT3" s="99"/>
      <c r="AU3" s="96"/>
      <c r="AV3" s="96"/>
      <c r="AW3" s="96"/>
      <c r="AX3" s="96"/>
    </row>
    <row r="4" spans="1:50" x14ac:dyDescent="0.25">
      <c r="A4" s="3">
        <v>24</v>
      </c>
      <c r="B4" s="42">
        <v>0</v>
      </c>
      <c r="E4" s="2"/>
      <c r="F4" s="169" t="s">
        <v>227</v>
      </c>
      <c r="G4" s="98"/>
      <c r="I4" s="37"/>
      <c r="J4" s="136" t="s">
        <v>3</v>
      </c>
      <c r="K4" s="136" t="s">
        <v>105</v>
      </c>
      <c r="L4" s="136" t="s">
        <v>106</v>
      </c>
      <c r="M4" s="137" t="s">
        <v>107</v>
      </c>
      <c r="O4" s="3">
        <v>24</v>
      </c>
      <c r="P4" s="93">
        <v>0</v>
      </c>
      <c r="Q4" s="92"/>
      <c r="R4" s="92"/>
      <c r="S4" s="92"/>
      <c r="T4" s="2"/>
      <c r="U4" s="169" t="s">
        <v>227</v>
      </c>
      <c r="V4" s="37"/>
      <c r="W4" s="141" t="s">
        <v>3</v>
      </c>
      <c r="X4" s="141" t="s">
        <v>105</v>
      </c>
      <c r="Y4" s="141" t="s">
        <v>108</v>
      </c>
      <c r="Z4" s="141" t="s">
        <v>112</v>
      </c>
      <c r="AA4" s="142" t="s">
        <v>109</v>
      </c>
      <c r="AC4" s="90"/>
      <c r="AM4" s="95"/>
      <c r="AN4" s="97"/>
      <c r="AO4" s="96"/>
      <c r="AP4" s="96"/>
      <c r="AQ4" s="96"/>
      <c r="AR4" s="96"/>
      <c r="AS4" s="98"/>
      <c r="AT4" s="99"/>
      <c r="AU4" s="96"/>
      <c r="AV4" s="96"/>
      <c r="AW4" s="96"/>
      <c r="AX4" s="96"/>
    </row>
    <row r="5" spans="1:50" x14ac:dyDescent="0.25">
      <c r="A5" s="3">
        <v>24</v>
      </c>
      <c r="B5" s="42">
        <v>0</v>
      </c>
      <c r="E5" s="2"/>
      <c r="G5" s="98"/>
      <c r="I5" s="321" t="s">
        <v>113</v>
      </c>
      <c r="J5" s="91">
        <v>10</v>
      </c>
      <c r="K5" s="91">
        <v>0</v>
      </c>
      <c r="L5" s="91">
        <v>0</v>
      </c>
      <c r="M5" s="6">
        <v>0</v>
      </c>
      <c r="O5" s="3">
        <v>24</v>
      </c>
      <c r="P5" s="93">
        <v>0</v>
      </c>
      <c r="Q5" s="92"/>
      <c r="R5" s="92"/>
      <c r="S5" s="92"/>
      <c r="T5" s="2"/>
      <c r="V5" s="321" t="s">
        <v>113</v>
      </c>
      <c r="W5" s="91">
        <v>10</v>
      </c>
      <c r="X5" s="91">
        <v>0</v>
      </c>
      <c r="Y5" s="91">
        <v>0</v>
      </c>
      <c r="Z5" s="91">
        <v>0</v>
      </c>
      <c r="AA5" s="6">
        <v>0</v>
      </c>
      <c r="AC5" s="90"/>
      <c r="AM5" s="95"/>
      <c r="AN5" s="97"/>
      <c r="AO5" s="96"/>
      <c r="AP5" s="96"/>
      <c r="AQ5" s="96"/>
      <c r="AR5" s="96"/>
      <c r="AS5" s="98"/>
      <c r="AT5" s="99"/>
      <c r="AU5" s="96"/>
      <c r="AV5" s="96"/>
      <c r="AW5" s="96"/>
      <c r="AX5" s="96"/>
    </row>
    <row r="6" spans="1:50" x14ac:dyDescent="0.25">
      <c r="A6" s="3">
        <v>24</v>
      </c>
      <c r="B6" s="42">
        <v>0</v>
      </c>
      <c r="E6" s="2"/>
      <c r="G6" s="98"/>
      <c r="I6" s="321"/>
      <c r="J6" s="91">
        <v>10</v>
      </c>
      <c r="K6" s="91">
        <v>0</v>
      </c>
      <c r="L6" s="91">
        <v>0</v>
      </c>
      <c r="M6" s="6">
        <v>0</v>
      </c>
      <c r="O6" s="3">
        <v>24</v>
      </c>
      <c r="P6" s="93">
        <v>0</v>
      </c>
      <c r="Q6" s="92"/>
      <c r="R6" s="92"/>
      <c r="S6" s="92"/>
      <c r="T6" s="2"/>
      <c r="V6" s="321"/>
      <c r="W6" s="91">
        <v>10</v>
      </c>
      <c r="X6" s="91">
        <v>0</v>
      </c>
      <c r="Y6" s="91">
        <v>0</v>
      </c>
      <c r="Z6" s="91">
        <v>0</v>
      </c>
      <c r="AA6" s="6">
        <v>0</v>
      </c>
      <c r="AC6" s="90"/>
      <c r="AM6" s="95"/>
      <c r="AN6" s="97"/>
      <c r="AO6" s="96"/>
      <c r="AP6" s="96"/>
      <c r="AQ6" s="96"/>
      <c r="AR6" s="96"/>
      <c r="AS6" s="98"/>
      <c r="AT6" s="99"/>
      <c r="AU6" s="96"/>
      <c r="AV6" s="96"/>
      <c r="AW6" s="96"/>
      <c r="AX6" s="96"/>
    </row>
    <row r="7" spans="1:50" x14ac:dyDescent="0.25">
      <c r="A7" s="3">
        <v>24</v>
      </c>
      <c r="B7" s="42">
        <v>0</v>
      </c>
      <c r="E7" s="2"/>
      <c r="G7" s="98"/>
      <c r="I7" s="321"/>
      <c r="J7" s="91">
        <v>10</v>
      </c>
      <c r="K7" s="91">
        <v>0</v>
      </c>
      <c r="L7" s="91">
        <v>0</v>
      </c>
      <c r="M7" s="6">
        <v>0</v>
      </c>
      <c r="O7" s="3">
        <v>24</v>
      </c>
      <c r="P7" s="93">
        <v>0</v>
      </c>
      <c r="Q7" s="92"/>
      <c r="R7" s="92"/>
      <c r="S7" s="92"/>
      <c r="T7" s="2"/>
      <c r="V7" s="321"/>
      <c r="W7" s="91">
        <v>10</v>
      </c>
      <c r="X7" s="91">
        <v>0</v>
      </c>
      <c r="Y7" s="91">
        <v>0</v>
      </c>
      <c r="Z7" s="91">
        <v>0</v>
      </c>
      <c r="AA7" s="6">
        <v>0</v>
      </c>
      <c r="AC7" s="90"/>
      <c r="AM7" s="95"/>
      <c r="AN7" s="97"/>
      <c r="AO7" s="96"/>
      <c r="AP7" s="96"/>
      <c r="AQ7" s="96"/>
      <c r="AR7" s="96"/>
      <c r="AS7" s="98"/>
      <c r="AT7" s="99"/>
      <c r="AU7" s="96"/>
      <c r="AV7" s="96"/>
      <c r="AW7" s="96"/>
      <c r="AX7" s="96"/>
    </row>
    <row r="8" spans="1:50" x14ac:dyDescent="0.25">
      <c r="A8" s="3">
        <v>24</v>
      </c>
      <c r="B8" s="42">
        <v>0</v>
      </c>
      <c r="E8" s="2"/>
      <c r="G8" s="98"/>
      <c r="I8" s="321"/>
      <c r="J8" s="91">
        <v>10</v>
      </c>
      <c r="K8" s="91">
        <v>0</v>
      </c>
      <c r="L8" s="91">
        <v>0</v>
      </c>
      <c r="M8" s="6">
        <v>0</v>
      </c>
      <c r="O8" s="3">
        <v>24</v>
      </c>
      <c r="P8" s="93">
        <v>0</v>
      </c>
      <c r="Q8" s="92"/>
      <c r="R8" s="92"/>
      <c r="S8" s="92"/>
      <c r="T8" s="2"/>
      <c r="V8" s="321"/>
      <c r="W8" s="91">
        <v>10</v>
      </c>
      <c r="X8" s="91">
        <v>0</v>
      </c>
      <c r="Y8" s="91">
        <v>0</v>
      </c>
      <c r="Z8" s="91">
        <v>0</v>
      </c>
      <c r="AA8" s="6">
        <v>0</v>
      </c>
      <c r="AC8" s="90"/>
      <c r="AM8" s="95"/>
      <c r="AN8" s="97"/>
      <c r="AO8" s="96"/>
      <c r="AP8" s="96"/>
      <c r="AQ8" s="96"/>
      <c r="AR8" s="96"/>
      <c r="AS8" s="98"/>
      <c r="AT8" s="99"/>
      <c r="AU8" s="96"/>
      <c r="AV8" s="96"/>
      <c r="AW8" s="96"/>
      <c r="AX8" s="96"/>
    </row>
    <row r="9" spans="1:50" x14ac:dyDescent="0.25">
      <c r="A9" s="3">
        <v>24</v>
      </c>
      <c r="B9" s="42">
        <v>0</v>
      </c>
      <c r="E9" s="2"/>
      <c r="G9" s="98"/>
      <c r="I9" s="321"/>
      <c r="J9" s="91">
        <v>10</v>
      </c>
      <c r="K9" s="91">
        <v>0</v>
      </c>
      <c r="L9" s="91">
        <v>0</v>
      </c>
      <c r="M9" s="6">
        <v>0</v>
      </c>
      <c r="O9" s="3">
        <v>24</v>
      </c>
      <c r="P9" s="93">
        <v>0</v>
      </c>
      <c r="Q9" s="92"/>
      <c r="R9" s="92"/>
      <c r="S9" s="92"/>
      <c r="T9" s="2"/>
      <c r="V9" s="321"/>
      <c r="W9" s="91">
        <v>10</v>
      </c>
      <c r="X9" s="91">
        <v>0</v>
      </c>
      <c r="Y9" s="91">
        <v>0</v>
      </c>
      <c r="Z9" s="91">
        <v>0</v>
      </c>
      <c r="AA9" s="6">
        <v>0</v>
      </c>
      <c r="AC9" s="90"/>
      <c r="AM9" s="95"/>
      <c r="AN9" s="97"/>
      <c r="AO9" s="96"/>
      <c r="AP9" s="96"/>
      <c r="AQ9" s="96"/>
      <c r="AR9" s="96"/>
      <c r="AS9" s="293"/>
      <c r="AT9" s="293"/>
      <c r="AU9" s="96"/>
      <c r="AV9" s="96"/>
      <c r="AW9" s="96"/>
      <c r="AX9" s="96"/>
    </row>
    <row r="10" spans="1:50" x14ac:dyDescent="0.25">
      <c r="A10" s="3">
        <v>24</v>
      </c>
      <c r="B10" s="42">
        <v>0</v>
      </c>
      <c r="E10" s="2"/>
      <c r="G10" s="98"/>
      <c r="I10" s="321"/>
      <c r="J10" s="91">
        <v>10</v>
      </c>
      <c r="K10" s="91">
        <v>0</v>
      </c>
      <c r="L10" s="91">
        <v>0</v>
      </c>
      <c r="M10" s="6">
        <v>0</v>
      </c>
      <c r="O10" s="3">
        <v>24</v>
      </c>
      <c r="P10" s="93">
        <v>0</v>
      </c>
      <c r="Q10" s="92"/>
      <c r="R10" s="92"/>
      <c r="S10" s="92"/>
      <c r="T10" s="2"/>
      <c r="V10" s="321"/>
      <c r="W10" s="91">
        <v>10</v>
      </c>
      <c r="X10" s="91">
        <v>0</v>
      </c>
      <c r="Y10" s="91">
        <v>0</v>
      </c>
      <c r="Z10" s="91">
        <v>0</v>
      </c>
      <c r="AA10" s="6">
        <v>0</v>
      </c>
      <c r="AC10" s="159"/>
      <c r="AM10" s="95"/>
      <c r="AN10" s="97"/>
      <c r="AO10" s="96"/>
      <c r="AP10" s="96"/>
      <c r="AQ10" s="96"/>
      <c r="AR10" s="96"/>
      <c r="AS10" s="98"/>
      <c r="AT10" s="99"/>
      <c r="AU10" s="96"/>
      <c r="AV10" s="96"/>
      <c r="AW10" s="96"/>
      <c r="AX10" s="96"/>
    </row>
    <row r="11" spans="1:50" x14ac:dyDescent="0.25">
      <c r="A11" s="3">
        <v>24</v>
      </c>
      <c r="B11" s="42">
        <v>0</v>
      </c>
      <c r="E11" s="2"/>
      <c r="G11" s="116"/>
      <c r="I11" s="321"/>
      <c r="J11" s="91">
        <v>10</v>
      </c>
      <c r="K11" s="91">
        <v>0</v>
      </c>
      <c r="L11" s="91">
        <v>0</v>
      </c>
      <c r="M11" s="6">
        <v>0</v>
      </c>
      <c r="O11" s="3">
        <v>24</v>
      </c>
      <c r="P11" s="93">
        <v>0</v>
      </c>
      <c r="Q11" s="92"/>
      <c r="R11" s="92"/>
      <c r="S11" s="92"/>
      <c r="T11" s="2"/>
      <c r="V11" s="321"/>
      <c r="W11" s="91">
        <v>10</v>
      </c>
      <c r="X11" s="91">
        <v>0</v>
      </c>
      <c r="Y11" s="91">
        <v>0</v>
      </c>
      <c r="Z11" s="91">
        <v>0</v>
      </c>
      <c r="AA11" s="6">
        <v>0</v>
      </c>
      <c r="AC11" s="171"/>
      <c r="AM11" s="95"/>
      <c r="AN11" s="97"/>
      <c r="AO11" s="96"/>
      <c r="AP11" s="96"/>
      <c r="AQ11" s="96"/>
      <c r="AR11" s="96"/>
      <c r="AS11" s="98"/>
      <c r="AT11" s="99"/>
      <c r="AU11" s="96"/>
      <c r="AV11" s="96"/>
      <c r="AW11" s="96"/>
      <c r="AX11" s="96"/>
    </row>
    <row r="12" spans="1:50" x14ac:dyDescent="0.25">
      <c r="A12" s="3">
        <v>24</v>
      </c>
      <c r="B12" s="42">
        <v>0</v>
      </c>
      <c r="E12" s="2"/>
      <c r="G12" s="98"/>
      <c r="I12" s="321"/>
      <c r="J12" s="91">
        <v>10</v>
      </c>
      <c r="K12" s="91">
        <v>0</v>
      </c>
      <c r="L12" s="91">
        <v>0</v>
      </c>
      <c r="M12" s="6">
        <v>0</v>
      </c>
      <c r="O12" s="3">
        <v>24</v>
      </c>
      <c r="P12" s="93">
        <v>0</v>
      </c>
      <c r="Q12" s="92"/>
      <c r="R12" s="92"/>
      <c r="S12" s="92"/>
      <c r="T12" s="2"/>
      <c r="V12" s="321"/>
      <c r="W12" s="91">
        <v>10</v>
      </c>
      <c r="X12" s="91">
        <v>0</v>
      </c>
      <c r="Y12" s="91">
        <v>0</v>
      </c>
      <c r="Z12" s="91">
        <v>0</v>
      </c>
      <c r="AA12" s="6">
        <v>0</v>
      </c>
      <c r="AC12" s="171"/>
      <c r="AM12" s="95"/>
      <c r="AN12" s="96"/>
      <c r="AO12" s="95"/>
      <c r="AP12" s="96"/>
      <c r="AQ12" s="96"/>
      <c r="AR12" s="96"/>
      <c r="AS12" s="98"/>
      <c r="AT12" s="99"/>
      <c r="AU12" s="96"/>
      <c r="AV12" s="96"/>
      <c r="AW12" s="96"/>
      <c r="AX12" s="96"/>
    </row>
    <row r="13" spans="1:50" x14ac:dyDescent="0.25">
      <c r="A13" s="3">
        <v>24</v>
      </c>
      <c r="B13" s="42">
        <v>0</v>
      </c>
      <c r="E13" s="2"/>
      <c r="G13" s="98"/>
      <c r="I13" s="321"/>
      <c r="J13" s="91">
        <v>10</v>
      </c>
      <c r="K13" s="91">
        <v>0</v>
      </c>
      <c r="L13" s="91">
        <v>0</v>
      </c>
      <c r="M13" s="6">
        <v>0</v>
      </c>
      <c r="O13" s="3">
        <v>24</v>
      </c>
      <c r="P13" s="93">
        <v>0</v>
      </c>
      <c r="Q13" s="92"/>
      <c r="R13" s="92"/>
      <c r="S13" s="92"/>
      <c r="T13" s="2"/>
      <c r="V13" s="321"/>
      <c r="W13" s="91">
        <v>10</v>
      </c>
      <c r="X13" s="91">
        <v>0</v>
      </c>
      <c r="Y13" s="91">
        <v>0</v>
      </c>
      <c r="Z13" s="91">
        <v>0</v>
      </c>
      <c r="AA13" s="6">
        <v>0</v>
      </c>
      <c r="AC13" s="171"/>
      <c r="AM13" s="95"/>
      <c r="AN13" s="96"/>
      <c r="AO13" s="95"/>
      <c r="AP13" s="96"/>
      <c r="AQ13" s="96"/>
      <c r="AR13" s="96"/>
      <c r="AS13" s="98"/>
      <c r="AT13" s="99"/>
      <c r="AU13" s="96"/>
      <c r="AV13" s="96"/>
      <c r="AW13" s="96"/>
      <c r="AX13" s="96"/>
    </row>
    <row r="14" spans="1:50" x14ac:dyDescent="0.25">
      <c r="A14" s="3">
        <v>1</v>
      </c>
      <c r="C14" s="5">
        <v>1</v>
      </c>
      <c r="E14" s="2"/>
      <c r="G14" s="98"/>
      <c r="I14" s="321"/>
      <c r="J14" s="91">
        <v>10</v>
      </c>
      <c r="K14" s="91">
        <v>0</v>
      </c>
      <c r="L14" s="91">
        <v>0</v>
      </c>
      <c r="M14" s="6">
        <v>0</v>
      </c>
      <c r="O14" s="3">
        <v>1</v>
      </c>
      <c r="P14" s="92"/>
      <c r="Q14" s="91">
        <v>1</v>
      </c>
      <c r="R14" s="92"/>
      <c r="S14" s="92"/>
      <c r="T14" s="2"/>
      <c r="V14" s="321"/>
      <c r="W14" s="91">
        <v>10</v>
      </c>
      <c r="X14" s="91">
        <v>0</v>
      </c>
      <c r="Y14" s="91">
        <v>0</v>
      </c>
      <c r="Z14" s="91">
        <v>0</v>
      </c>
      <c r="AA14" s="6">
        <v>0</v>
      </c>
      <c r="AC14" s="171"/>
      <c r="AM14" s="95"/>
      <c r="AN14" s="96"/>
      <c r="AO14" s="95"/>
      <c r="AP14" s="96"/>
      <c r="AQ14" s="96"/>
      <c r="AR14" s="96"/>
      <c r="AS14" s="98"/>
      <c r="AT14" s="99"/>
      <c r="AU14" s="96"/>
      <c r="AV14" s="96"/>
      <c r="AW14" s="96"/>
      <c r="AX14" s="96"/>
    </row>
    <row r="15" spans="1:50" x14ac:dyDescent="0.25">
      <c r="A15" s="3">
        <v>1</v>
      </c>
      <c r="C15" s="5">
        <v>1</v>
      </c>
      <c r="E15" s="2"/>
      <c r="G15" s="98"/>
      <c r="I15" s="321"/>
      <c r="J15" s="92"/>
      <c r="K15" s="91">
        <v>0</v>
      </c>
      <c r="L15" s="91">
        <v>0</v>
      </c>
      <c r="M15" s="6">
        <v>0</v>
      </c>
      <c r="O15" s="3">
        <v>1</v>
      </c>
      <c r="P15" s="92"/>
      <c r="Q15" s="91">
        <v>1</v>
      </c>
      <c r="R15" s="92"/>
      <c r="S15" s="92"/>
      <c r="T15" s="2"/>
      <c r="V15" s="321"/>
      <c r="W15" s="92"/>
      <c r="X15" s="91">
        <v>0</v>
      </c>
      <c r="Y15" s="91">
        <v>0</v>
      </c>
      <c r="Z15" s="91">
        <v>0</v>
      </c>
      <c r="AA15" s="6">
        <v>0</v>
      </c>
      <c r="AC15" s="171"/>
      <c r="AM15" s="95"/>
      <c r="AN15" s="96"/>
      <c r="AO15" s="95"/>
      <c r="AP15" s="96"/>
      <c r="AQ15" s="96"/>
      <c r="AR15" s="96"/>
      <c r="AS15" s="293"/>
      <c r="AT15" s="293"/>
      <c r="AU15" s="96"/>
      <c r="AV15" s="96"/>
      <c r="AW15" s="96"/>
      <c r="AX15" s="96"/>
    </row>
    <row r="16" spans="1:50" x14ac:dyDescent="0.25">
      <c r="A16" s="3">
        <v>1</v>
      </c>
      <c r="C16" s="5">
        <v>1</v>
      </c>
      <c r="E16" s="2"/>
      <c r="G16" s="98"/>
      <c r="I16" s="321"/>
      <c r="J16" s="92"/>
      <c r="K16" s="91">
        <v>0</v>
      </c>
      <c r="L16" s="91">
        <v>0</v>
      </c>
      <c r="M16" s="6">
        <v>0</v>
      </c>
      <c r="O16" s="3">
        <v>1</v>
      </c>
      <c r="P16" s="92"/>
      <c r="Q16" s="91">
        <v>1</v>
      </c>
      <c r="R16" s="92"/>
      <c r="S16" s="92"/>
      <c r="T16" s="2"/>
      <c r="V16" s="321"/>
      <c r="W16" s="92"/>
      <c r="X16" s="91">
        <v>0</v>
      </c>
      <c r="Y16" s="91">
        <v>0</v>
      </c>
      <c r="Z16" s="91">
        <v>0</v>
      </c>
      <c r="AA16" s="6">
        <v>0</v>
      </c>
      <c r="AC16" s="171"/>
      <c r="AM16" s="95"/>
      <c r="AN16" s="96"/>
      <c r="AO16" s="95"/>
      <c r="AP16" s="96"/>
      <c r="AQ16" s="96"/>
      <c r="AR16" s="96"/>
      <c r="AS16" s="98"/>
      <c r="AT16" s="99"/>
      <c r="AU16" s="96"/>
      <c r="AV16" s="96"/>
      <c r="AW16" s="96"/>
      <c r="AX16" s="96"/>
    </row>
    <row r="17" spans="1:50" x14ac:dyDescent="0.25">
      <c r="A17" s="3">
        <v>5</v>
      </c>
      <c r="C17" s="5">
        <v>1</v>
      </c>
      <c r="E17" s="2"/>
      <c r="G17" s="98"/>
      <c r="I17" s="321"/>
      <c r="J17" s="92"/>
      <c r="K17" s="91">
        <v>3</v>
      </c>
      <c r="L17" s="91">
        <v>0</v>
      </c>
      <c r="M17" s="6">
        <v>0</v>
      </c>
      <c r="O17" s="3">
        <v>5</v>
      </c>
      <c r="P17" s="92"/>
      <c r="Q17" s="91">
        <v>1</v>
      </c>
      <c r="R17" s="92"/>
      <c r="S17" s="92"/>
      <c r="T17" s="2"/>
      <c r="V17" s="321"/>
      <c r="W17" s="92"/>
      <c r="X17" s="91">
        <v>3</v>
      </c>
      <c r="Y17" s="91">
        <v>0</v>
      </c>
      <c r="Z17" s="91">
        <v>0</v>
      </c>
      <c r="AA17" s="6">
        <v>0</v>
      </c>
      <c r="AC17" s="90"/>
      <c r="AM17" s="95"/>
      <c r="AN17" s="96"/>
      <c r="AO17" s="95"/>
      <c r="AP17" s="96"/>
      <c r="AQ17" s="96"/>
      <c r="AR17" s="96"/>
      <c r="AS17" s="98"/>
      <c r="AT17" s="99"/>
      <c r="AU17" s="96"/>
      <c r="AV17" s="96"/>
      <c r="AW17" s="96"/>
      <c r="AX17" s="96"/>
    </row>
    <row r="18" spans="1:50" x14ac:dyDescent="0.25">
      <c r="A18" s="3">
        <v>5</v>
      </c>
      <c r="C18" s="5">
        <v>1</v>
      </c>
      <c r="E18" s="2"/>
      <c r="G18" s="116"/>
      <c r="I18" s="321"/>
      <c r="J18" s="92"/>
      <c r="K18" s="91">
        <v>4.5</v>
      </c>
      <c r="L18" s="91">
        <v>0</v>
      </c>
      <c r="M18" s="6">
        <v>3</v>
      </c>
      <c r="O18" s="3">
        <v>5</v>
      </c>
      <c r="P18" s="92"/>
      <c r="Q18" s="91">
        <v>1</v>
      </c>
      <c r="R18" s="92"/>
      <c r="S18" s="92"/>
      <c r="T18" s="2"/>
      <c r="V18" s="321"/>
      <c r="W18" s="92"/>
      <c r="X18" s="91">
        <v>4.5</v>
      </c>
      <c r="Y18" s="91">
        <v>0</v>
      </c>
      <c r="Z18" s="91">
        <v>0</v>
      </c>
      <c r="AA18" s="6">
        <v>0</v>
      </c>
      <c r="AC18" s="171"/>
      <c r="AM18" s="95"/>
      <c r="AN18" s="96"/>
      <c r="AO18" s="95"/>
      <c r="AP18" s="96"/>
      <c r="AQ18" s="96"/>
      <c r="AR18" s="96"/>
      <c r="AS18" s="98"/>
      <c r="AT18" s="99"/>
      <c r="AU18" s="96"/>
      <c r="AV18" s="96"/>
      <c r="AW18" s="96"/>
      <c r="AX18" s="96"/>
    </row>
    <row r="19" spans="1:50" x14ac:dyDescent="0.25">
      <c r="A19" s="3">
        <v>5</v>
      </c>
      <c r="C19" s="5">
        <v>1</v>
      </c>
      <c r="E19" s="2"/>
      <c r="G19" s="98"/>
      <c r="I19" s="321"/>
      <c r="J19" s="92"/>
      <c r="K19" s="91">
        <v>4</v>
      </c>
      <c r="L19" s="91">
        <v>4</v>
      </c>
      <c r="M19" s="6">
        <v>3</v>
      </c>
      <c r="O19" s="3">
        <v>5</v>
      </c>
      <c r="P19" s="92"/>
      <c r="Q19" s="91">
        <v>1</v>
      </c>
      <c r="R19" s="92"/>
      <c r="S19" s="92"/>
      <c r="T19" s="2"/>
      <c r="V19" s="321"/>
      <c r="W19" s="92"/>
      <c r="X19" s="91">
        <v>4</v>
      </c>
      <c r="Y19" s="91">
        <v>0</v>
      </c>
      <c r="Z19" s="91">
        <v>0</v>
      </c>
      <c r="AA19" s="6">
        <v>0</v>
      </c>
      <c r="AC19" s="171"/>
      <c r="AM19" s="95"/>
      <c r="AN19" s="96"/>
      <c r="AO19" s="95"/>
      <c r="AP19" s="96"/>
      <c r="AQ19" s="96"/>
      <c r="AR19" s="96"/>
      <c r="AS19" s="98"/>
      <c r="AT19" s="99"/>
      <c r="AU19" s="96"/>
      <c r="AV19" s="96"/>
      <c r="AW19" s="96"/>
      <c r="AX19" s="96"/>
    </row>
    <row r="20" spans="1:50" x14ac:dyDescent="0.25">
      <c r="A20" s="3">
        <v>5</v>
      </c>
      <c r="C20" s="5">
        <v>1</v>
      </c>
      <c r="E20" s="2"/>
      <c r="G20" s="98"/>
      <c r="I20" s="321"/>
      <c r="J20" s="92"/>
      <c r="K20" s="91">
        <v>4</v>
      </c>
      <c r="L20" s="91">
        <v>0</v>
      </c>
      <c r="M20" s="6">
        <v>0</v>
      </c>
      <c r="O20" s="3">
        <v>5</v>
      </c>
      <c r="P20" s="92"/>
      <c r="Q20" s="91">
        <v>1</v>
      </c>
      <c r="R20" s="92"/>
      <c r="S20" s="92"/>
      <c r="T20" s="2"/>
      <c r="V20" s="321"/>
      <c r="W20" s="92"/>
      <c r="X20" s="91">
        <v>4</v>
      </c>
      <c r="Y20" s="91">
        <v>0</v>
      </c>
      <c r="Z20" s="91">
        <v>0</v>
      </c>
      <c r="AA20" s="6">
        <v>0</v>
      </c>
      <c r="AC20" s="171"/>
      <c r="AM20" s="95"/>
      <c r="AN20" s="96"/>
      <c r="AO20" s="95"/>
      <c r="AP20" s="96"/>
      <c r="AQ20" s="96"/>
      <c r="AR20" s="96"/>
      <c r="AS20" s="98"/>
      <c r="AT20" s="99"/>
      <c r="AU20" s="96"/>
      <c r="AV20" s="96"/>
      <c r="AW20" s="96"/>
      <c r="AX20" s="96"/>
    </row>
    <row r="21" spans="1:50" x14ac:dyDescent="0.25">
      <c r="A21" s="3">
        <v>6</v>
      </c>
      <c r="C21" s="5">
        <v>1</v>
      </c>
      <c r="E21" s="2"/>
      <c r="G21" s="98"/>
      <c r="I21" s="321"/>
      <c r="J21" s="92"/>
      <c r="K21" s="91">
        <v>4</v>
      </c>
      <c r="L21" s="91">
        <v>0</v>
      </c>
      <c r="M21" s="6">
        <v>0</v>
      </c>
      <c r="O21" s="3">
        <v>6</v>
      </c>
      <c r="P21" s="92"/>
      <c r="Q21" s="91">
        <v>1</v>
      </c>
      <c r="R21" s="92"/>
      <c r="S21" s="92"/>
      <c r="T21" s="2"/>
      <c r="V21" s="321"/>
      <c r="W21" s="92"/>
      <c r="X21" s="91">
        <v>4</v>
      </c>
      <c r="Y21" s="91">
        <v>0</v>
      </c>
      <c r="Z21" s="91">
        <v>0</v>
      </c>
      <c r="AA21" s="6">
        <v>0</v>
      </c>
      <c r="AC21" s="171"/>
      <c r="AM21" s="95"/>
      <c r="AN21" s="96"/>
      <c r="AO21" s="95"/>
      <c r="AP21" s="96"/>
      <c r="AQ21" s="96"/>
      <c r="AR21" s="96"/>
      <c r="AS21" s="293"/>
      <c r="AT21" s="293"/>
      <c r="AU21" s="96"/>
      <c r="AV21" s="96"/>
      <c r="AW21" s="96"/>
      <c r="AX21" s="96"/>
    </row>
    <row r="22" spans="1:50" x14ac:dyDescent="0.25">
      <c r="A22" s="3">
        <v>6</v>
      </c>
      <c r="C22" s="5">
        <v>1</v>
      </c>
      <c r="E22" s="2"/>
      <c r="G22" s="98"/>
      <c r="I22" s="321"/>
      <c r="J22" s="92"/>
      <c r="K22" s="91">
        <v>4</v>
      </c>
      <c r="L22" s="91">
        <v>0</v>
      </c>
      <c r="M22" s="6">
        <v>0</v>
      </c>
      <c r="O22" s="3">
        <v>6</v>
      </c>
      <c r="P22" s="92"/>
      <c r="Q22" s="91">
        <v>1</v>
      </c>
      <c r="R22" s="92"/>
      <c r="S22" s="92"/>
      <c r="T22" s="2"/>
      <c r="V22" s="321"/>
      <c r="W22" s="92"/>
      <c r="X22" s="91">
        <v>4</v>
      </c>
      <c r="Y22" s="91">
        <v>0</v>
      </c>
      <c r="Z22" s="91">
        <v>0</v>
      </c>
      <c r="AA22" s="6">
        <v>0</v>
      </c>
      <c r="AC22" s="171"/>
      <c r="AM22" s="95"/>
      <c r="AN22" s="96"/>
      <c r="AO22" s="95"/>
      <c r="AP22" s="96"/>
      <c r="AQ22" s="96"/>
      <c r="AR22" s="96"/>
      <c r="AS22" s="98"/>
      <c r="AT22" s="99"/>
      <c r="AU22" s="96"/>
      <c r="AV22" s="96"/>
      <c r="AW22" s="96"/>
      <c r="AX22" s="96"/>
    </row>
    <row r="23" spans="1:50" x14ac:dyDescent="0.25">
      <c r="A23" s="3">
        <v>7</v>
      </c>
      <c r="C23" s="5">
        <v>1</v>
      </c>
      <c r="E23" s="2"/>
      <c r="G23" s="98"/>
      <c r="I23" s="321"/>
      <c r="J23" s="92"/>
      <c r="K23" s="91">
        <v>4</v>
      </c>
      <c r="L23" s="91">
        <v>0</v>
      </c>
      <c r="M23" s="6">
        <v>0</v>
      </c>
      <c r="O23" s="3">
        <v>7</v>
      </c>
      <c r="P23" s="92"/>
      <c r="Q23" s="91">
        <v>1</v>
      </c>
      <c r="R23" s="92"/>
      <c r="S23" s="92"/>
      <c r="T23" s="2"/>
      <c r="V23" s="321"/>
      <c r="W23" s="92"/>
      <c r="X23" s="91">
        <v>4</v>
      </c>
      <c r="Y23" s="91">
        <v>0</v>
      </c>
      <c r="Z23" s="91">
        <v>0</v>
      </c>
      <c r="AA23" s="6">
        <v>4</v>
      </c>
      <c r="AC23" s="171"/>
      <c r="AM23" s="95"/>
      <c r="AN23" s="96"/>
      <c r="AO23" s="95"/>
      <c r="AP23" s="96"/>
      <c r="AQ23" s="96"/>
      <c r="AR23" s="96"/>
      <c r="AS23" s="98"/>
      <c r="AT23" s="99"/>
      <c r="AU23" s="96"/>
      <c r="AV23" s="96"/>
      <c r="AW23" s="96"/>
      <c r="AX23" s="96"/>
    </row>
    <row r="24" spans="1:50" x14ac:dyDescent="0.25">
      <c r="A24" s="3">
        <v>7</v>
      </c>
      <c r="C24" s="5">
        <v>1</v>
      </c>
      <c r="E24" s="2"/>
      <c r="G24" s="98"/>
      <c r="I24" s="321"/>
      <c r="J24" s="92"/>
      <c r="K24" s="91">
        <v>4</v>
      </c>
      <c r="L24" s="91">
        <v>0</v>
      </c>
      <c r="M24" s="6">
        <v>0</v>
      </c>
      <c r="O24" s="3">
        <v>7</v>
      </c>
      <c r="P24" s="92"/>
      <c r="Q24" s="91">
        <v>1</v>
      </c>
      <c r="R24" s="92"/>
      <c r="S24" s="92"/>
      <c r="T24" s="2"/>
      <c r="V24" s="321"/>
      <c r="W24" s="92"/>
      <c r="X24" s="91">
        <v>4</v>
      </c>
      <c r="Y24" s="91">
        <v>0</v>
      </c>
      <c r="Z24" s="91">
        <v>0</v>
      </c>
      <c r="AA24" s="6">
        <v>4</v>
      </c>
      <c r="AC24" s="172"/>
      <c r="AM24" s="95"/>
      <c r="AN24" s="96"/>
      <c r="AO24" s="95"/>
      <c r="AP24" s="96"/>
      <c r="AQ24" s="96"/>
      <c r="AR24" s="96"/>
      <c r="AS24" s="98"/>
      <c r="AT24" s="99"/>
      <c r="AU24" s="96"/>
      <c r="AV24" s="96"/>
      <c r="AW24" s="96"/>
      <c r="AX24" s="96"/>
    </row>
    <row r="25" spans="1:50" x14ac:dyDescent="0.25">
      <c r="A25" s="3">
        <v>8</v>
      </c>
      <c r="C25" s="5">
        <v>1</v>
      </c>
      <c r="E25" s="2"/>
      <c r="G25" s="116"/>
      <c r="I25" s="321"/>
      <c r="J25" s="91">
        <v>10</v>
      </c>
      <c r="K25" s="91">
        <v>0</v>
      </c>
      <c r="L25" s="92"/>
      <c r="M25" s="2"/>
      <c r="O25" s="3">
        <v>8</v>
      </c>
      <c r="P25" s="92"/>
      <c r="Q25" s="91">
        <v>1</v>
      </c>
      <c r="R25" s="92"/>
      <c r="S25" s="92"/>
      <c r="T25" s="2"/>
      <c r="V25" s="321"/>
      <c r="W25" s="91">
        <v>10</v>
      </c>
      <c r="X25" s="91">
        <v>0</v>
      </c>
      <c r="Y25" s="91">
        <v>0</v>
      </c>
      <c r="Z25" s="91">
        <v>0</v>
      </c>
      <c r="AA25" s="163"/>
      <c r="AC25" s="171"/>
      <c r="AM25" s="95"/>
      <c r="AN25" s="96"/>
      <c r="AO25" s="95"/>
      <c r="AP25" s="96"/>
      <c r="AQ25" s="96"/>
      <c r="AR25" s="96"/>
      <c r="AS25" s="98"/>
      <c r="AT25" s="99"/>
      <c r="AU25" s="96"/>
      <c r="AV25" s="96"/>
      <c r="AW25" s="96"/>
      <c r="AX25" s="96"/>
    </row>
    <row r="26" spans="1:50" x14ac:dyDescent="0.25">
      <c r="A26" s="3">
        <v>24</v>
      </c>
      <c r="C26" s="5">
        <v>1</v>
      </c>
      <c r="E26" s="2"/>
      <c r="G26" s="98"/>
      <c r="I26" s="321"/>
      <c r="J26" s="91">
        <v>10</v>
      </c>
      <c r="K26" s="91">
        <v>0</v>
      </c>
      <c r="L26" s="92"/>
      <c r="M26" s="2"/>
      <c r="O26" s="3">
        <v>24</v>
      </c>
      <c r="P26" s="92"/>
      <c r="Q26" s="91">
        <v>1</v>
      </c>
      <c r="R26" s="92"/>
      <c r="S26" s="92"/>
      <c r="T26" s="2"/>
      <c r="V26" s="321"/>
      <c r="W26" s="91">
        <v>10</v>
      </c>
      <c r="X26" s="91">
        <v>0</v>
      </c>
      <c r="Y26" s="91">
        <v>0</v>
      </c>
      <c r="Z26" s="91">
        <v>0</v>
      </c>
      <c r="AA26" s="163"/>
      <c r="AC26" s="171"/>
      <c r="AM26" s="95"/>
      <c r="AN26" s="96"/>
      <c r="AO26" s="95"/>
      <c r="AP26" s="96"/>
      <c r="AQ26" s="96"/>
      <c r="AR26" s="96"/>
      <c r="AS26" s="98"/>
      <c r="AT26" s="99"/>
      <c r="AU26" s="96"/>
      <c r="AV26" s="96"/>
      <c r="AW26" s="96"/>
      <c r="AX26" s="96"/>
    </row>
    <row r="27" spans="1:50" x14ac:dyDescent="0.25">
      <c r="A27" s="3">
        <v>24</v>
      </c>
      <c r="C27" s="5">
        <v>1</v>
      </c>
      <c r="E27" s="2"/>
      <c r="G27" s="98"/>
      <c r="I27" s="321"/>
      <c r="J27" s="91">
        <v>10</v>
      </c>
      <c r="K27" s="91">
        <v>0</v>
      </c>
      <c r="L27" s="92"/>
      <c r="M27" s="2"/>
      <c r="O27" s="3">
        <v>24</v>
      </c>
      <c r="P27" s="92"/>
      <c r="Q27" s="91">
        <v>1</v>
      </c>
      <c r="R27" s="92"/>
      <c r="S27" s="92"/>
      <c r="T27" s="2"/>
      <c r="V27" s="321"/>
      <c r="W27" s="91">
        <v>10</v>
      </c>
      <c r="X27" s="91">
        <v>0</v>
      </c>
      <c r="Y27" s="91">
        <v>0</v>
      </c>
      <c r="Z27" s="91">
        <v>0</v>
      </c>
      <c r="AA27" s="163"/>
      <c r="AC27" s="171"/>
      <c r="AM27" s="95"/>
      <c r="AN27" s="96"/>
      <c r="AO27" s="95"/>
      <c r="AP27" s="96"/>
      <c r="AQ27" s="96"/>
      <c r="AR27" s="96"/>
      <c r="AS27" s="293"/>
      <c r="AT27" s="293"/>
      <c r="AU27" s="96"/>
      <c r="AV27" s="96"/>
      <c r="AW27" s="96"/>
      <c r="AX27" s="96"/>
    </row>
    <row r="28" spans="1:50" x14ac:dyDescent="0.25">
      <c r="A28" s="3">
        <v>24</v>
      </c>
      <c r="C28" s="5">
        <v>1</v>
      </c>
      <c r="E28" s="2"/>
      <c r="G28" s="98"/>
      <c r="I28" s="321"/>
      <c r="J28" s="91">
        <v>10</v>
      </c>
      <c r="K28" s="91">
        <v>0</v>
      </c>
      <c r="L28" s="92"/>
      <c r="M28" s="2"/>
      <c r="O28" s="3">
        <v>24</v>
      </c>
      <c r="P28" s="92"/>
      <c r="Q28" s="91">
        <v>1</v>
      </c>
      <c r="R28" s="92"/>
      <c r="S28" s="92"/>
      <c r="T28" s="2"/>
      <c r="V28" s="321"/>
      <c r="W28" s="91">
        <v>10</v>
      </c>
      <c r="X28" s="91">
        <v>0</v>
      </c>
      <c r="Y28" s="91">
        <v>0</v>
      </c>
      <c r="Z28" s="91">
        <v>0</v>
      </c>
      <c r="AA28" s="163"/>
      <c r="AC28" s="171"/>
      <c r="AM28" s="95"/>
      <c r="AN28" s="96"/>
      <c r="AO28" s="95"/>
      <c r="AP28" s="96"/>
      <c r="AQ28" s="96"/>
      <c r="AR28" s="96"/>
      <c r="AS28" s="98"/>
      <c r="AT28" s="99"/>
      <c r="AU28" s="96"/>
      <c r="AV28" s="96"/>
      <c r="AW28" s="96"/>
      <c r="AX28" s="96"/>
    </row>
    <row r="29" spans="1:50" x14ac:dyDescent="0.25">
      <c r="A29" s="3">
        <v>1</v>
      </c>
      <c r="C29" s="5">
        <v>1</v>
      </c>
      <c r="E29" s="2"/>
      <c r="G29" s="98"/>
      <c r="I29" s="321"/>
      <c r="J29" s="91">
        <v>10</v>
      </c>
      <c r="K29" s="91">
        <v>0</v>
      </c>
      <c r="L29" s="92"/>
      <c r="M29" s="2"/>
      <c r="O29" s="3">
        <v>1</v>
      </c>
      <c r="P29" s="92"/>
      <c r="Q29" s="91">
        <v>1</v>
      </c>
      <c r="R29" s="92"/>
      <c r="S29" s="92"/>
      <c r="T29" s="2"/>
      <c r="V29" s="321"/>
      <c r="W29" s="91">
        <v>10</v>
      </c>
      <c r="X29" s="91">
        <v>0</v>
      </c>
      <c r="Y29" s="91">
        <v>0</v>
      </c>
      <c r="Z29" s="91">
        <v>0</v>
      </c>
      <c r="AA29" s="163"/>
      <c r="AC29" s="171"/>
      <c r="AM29" s="95"/>
      <c r="AN29" s="96"/>
      <c r="AO29" s="95"/>
      <c r="AP29" s="96"/>
      <c r="AQ29" s="96"/>
      <c r="AR29" s="96"/>
      <c r="AS29" s="98"/>
      <c r="AT29" s="99"/>
      <c r="AU29" s="96"/>
      <c r="AV29" s="96"/>
      <c r="AW29" s="96"/>
      <c r="AX29" s="96"/>
    </row>
    <row r="30" spans="1:50" x14ac:dyDescent="0.25">
      <c r="A30" s="3">
        <v>1</v>
      </c>
      <c r="C30" s="5">
        <v>1</v>
      </c>
      <c r="E30" s="2"/>
      <c r="G30" s="98"/>
      <c r="I30" s="321"/>
      <c r="J30" s="91">
        <v>10</v>
      </c>
      <c r="K30" s="91">
        <v>0</v>
      </c>
      <c r="L30" s="92"/>
      <c r="M30" s="2"/>
      <c r="O30" s="3">
        <v>1</v>
      </c>
      <c r="P30" s="92"/>
      <c r="Q30" s="91">
        <v>1</v>
      </c>
      <c r="R30" s="92"/>
      <c r="S30" s="92"/>
      <c r="T30" s="2"/>
      <c r="V30" s="321"/>
      <c r="W30" s="91">
        <v>10</v>
      </c>
      <c r="X30" s="91">
        <v>0</v>
      </c>
      <c r="Y30" s="91">
        <v>0</v>
      </c>
      <c r="Z30" s="91">
        <v>0</v>
      </c>
      <c r="AA30" s="163"/>
      <c r="AC30" s="171"/>
      <c r="AM30" s="95"/>
      <c r="AN30" s="96"/>
      <c r="AO30" s="95"/>
      <c r="AP30" s="96"/>
      <c r="AQ30" s="96"/>
      <c r="AR30" s="96"/>
      <c r="AS30" s="98"/>
      <c r="AT30" s="99"/>
      <c r="AU30" s="96"/>
      <c r="AV30" s="96"/>
      <c r="AW30" s="96"/>
      <c r="AX30" s="96"/>
    </row>
    <row r="31" spans="1:50" x14ac:dyDescent="0.25">
      <c r="A31" s="3">
        <v>1</v>
      </c>
      <c r="C31" s="5">
        <v>1</v>
      </c>
      <c r="E31" s="2"/>
      <c r="G31" s="98"/>
      <c r="I31" s="321"/>
      <c r="J31" s="91">
        <v>10</v>
      </c>
      <c r="K31" s="91">
        <v>0</v>
      </c>
      <c r="L31" s="92"/>
      <c r="M31" s="2"/>
      <c r="O31" s="3">
        <v>1</v>
      </c>
      <c r="P31" s="92"/>
      <c r="Q31" s="91">
        <v>1</v>
      </c>
      <c r="R31" s="92"/>
      <c r="S31" s="92"/>
      <c r="T31" s="2"/>
      <c r="V31" s="321"/>
      <c r="W31" s="91">
        <v>10</v>
      </c>
      <c r="X31" s="91">
        <v>0</v>
      </c>
      <c r="Y31" s="91">
        <v>0</v>
      </c>
      <c r="Z31" s="91">
        <v>0</v>
      </c>
      <c r="AA31" s="163"/>
      <c r="AC31" s="172"/>
      <c r="AM31" s="95"/>
      <c r="AN31" s="96"/>
      <c r="AO31" s="95"/>
      <c r="AP31" s="96"/>
      <c r="AQ31" s="96"/>
      <c r="AR31" s="96"/>
      <c r="AS31" s="98"/>
      <c r="AT31" s="99"/>
      <c r="AU31" s="96"/>
      <c r="AV31" s="96"/>
      <c r="AW31" s="96"/>
      <c r="AX31" s="96"/>
    </row>
    <row r="32" spans="1:50" x14ac:dyDescent="0.25">
      <c r="A32" s="3">
        <v>4</v>
      </c>
      <c r="C32" s="5">
        <v>1</v>
      </c>
      <c r="E32" s="2"/>
      <c r="G32" s="170"/>
      <c r="I32" s="321"/>
      <c r="J32" s="91">
        <v>10</v>
      </c>
      <c r="K32" s="91">
        <v>0</v>
      </c>
      <c r="L32" s="92"/>
      <c r="M32" s="2"/>
      <c r="O32" s="3">
        <v>4</v>
      </c>
      <c r="P32" s="92"/>
      <c r="Q32" s="91">
        <v>1</v>
      </c>
      <c r="R32" s="92"/>
      <c r="S32" s="92"/>
      <c r="T32" s="2"/>
      <c r="V32" s="321"/>
      <c r="W32" s="91">
        <v>10</v>
      </c>
      <c r="X32" s="91">
        <v>0</v>
      </c>
      <c r="Y32" s="91">
        <v>0</v>
      </c>
      <c r="Z32" s="91">
        <v>0</v>
      </c>
      <c r="AA32" s="163"/>
      <c r="AC32" s="171"/>
      <c r="AM32" s="95"/>
      <c r="AN32" s="96"/>
      <c r="AO32" s="95"/>
      <c r="AP32" s="96"/>
      <c r="AQ32" s="96"/>
      <c r="AR32" s="96"/>
      <c r="AS32" s="98"/>
      <c r="AT32" s="99"/>
      <c r="AU32" s="96"/>
      <c r="AV32" s="96"/>
      <c r="AW32" s="96"/>
      <c r="AX32" s="96"/>
    </row>
    <row r="33" spans="1:50" x14ac:dyDescent="0.25">
      <c r="A33" s="3">
        <v>24</v>
      </c>
      <c r="C33" s="5">
        <v>1</v>
      </c>
      <c r="E33" s="2"/>
      <c r="G33" s="98"/>
      <c r="I33" s="321"/>
      <c r="J33" s="91">
        <v>10</v>
      </c>
      <c r="K33" s="91">
        <v>0</v>
      </c>
      <c r="L33" s="92"/>
      <c r="M33" s="2"/>
      <c r="O33" s="3">
        <v>24</v>
      </c>
      <c r="P33" s="92"/>
      <c r="Q33" s="91">
        <v>1</v>
      </c>
      <c r="R33" s="92"/>
      <c r="S33" s="92"/>
      <c r="T33" s="2"/>
      <c r="V33" s="321"/>
      <c r="W33" s="91">
        <v>10</v>
      </c>
      <c r="X33" s="91">
        <v>0</v>
      </c>
      <c r="Y33" s="91">
        <v>0</v>
      </c>
      <c r="Z33" s="91">
        <v>0</v>
      </c>
      <c r="AA33" s="163"/>
      <c r="AC33" s="171"/>
      <c r="AM33" s="95"/>
      <c r="AN33" s="96"/>
      <c r="AO33" s="95"/>
      <c r="AP33" s="96"/>
      <c r="AQ33" s="96"/>
      <c r="AR33" s="96"/>
      <c r="AS33" s="293"/>
      <c r="AT33" s="293"/>
      <c r="AU33" s="96"/>
      <c r="AV33" s="96"/>
      <c r="AW33" s="96"/>
      <c r="AX33" s="96"/>
    </row>
    <row r="34" spans="1:50" x14ac:dyDescent="0.25">
      <c r="A34" s="3">
        <v>24</v>
      </c>
      <c r="C34" s="5">
        <v>1</v>
      </c>
      <c r="E34" s="2"/>
      <c r="G34" s="98"/>
      <c r="I34" s="321"/>
      <c r="J34" s="91">
        <v>10</v>
      </c>
      <c r="K34" s="91">
        <v>4.5</v>
      </c>
      <c r="L34" s="92"/>
      <c r="M34" s="2"/>
      <c r="O34" s="3">
        <v>24</v>
      </c>
      <c r="P34" s="92"/>
      <c r="Q34" s="91">
        <v>1</v>
      </c>
      <c r="R34" s="92"/>
      <c r="S34" s="92"/>
      <c r="T34" s="2"/>
      <c r="V34" s="321"/>
      <c r="W34" s="91">
        <v>10</v>
      </c>
      <c r="X34" s="91">
        <v>4.5</v>
      </c>
      <c r="Y34" s="91">
        <v>0</v>
      </c>
      <c r="Z34" s="91">
        <v>0</v>
      </c>
      <c r="AA34" s="163"/>
      <c r="AC34" s="171"/>
      <c r="AM34" s="95"/>
      <c r="AN34" s="96"/>
      <c r="AO34" s="95"/>
      <c r="AP34" s="96"/>
      <c r="AQ34" s="96"/>
      <c r="AR34" s="96"/>
      <c r="AS34" s="98"/>
      <c r="AT34" s="99"/>
      <c r="AU34" s="96"/>
      <c r="AV34" s="96"/>
      <c r="AW34" s="96"/>
      <c r="AX34" s="96"/>
    </row>
    <row r="35" spans="1:50" x14ac:dyDescent="0.25">
      <c r="A35" s="3">
        <v>24</v>
      </c>
      <c r="C35" s="5">
        <v>1</v>
      </c>
      <c r="E35" s="2"/>
      <c r="G35" s="98"/>
      <c r="I35" s="321"/>
      <c r="J35" s="92"/>
      <c r="K35" s="91">
        <v>4</v>
      </c>
      <c r="L35" s="92"/>
      <c r="M35" s="2"/>
      <c r="O35" s="3">
        <v>24</v>
      </c>
      <c r="P35" s="92"/>
      <c r="Q35" s="91">
        <v>1</v>
      </c>
      <c r="R35" s="92"/>
      <c r="S35" s="92"/>
      <c r="T35" s="2"/>
      <c r="V35" s="321"/>
      <c r="W35" s="92"/>
      <c r="X35" s="91">
        <v>4</v>
      </c>
      <c r="Y35" s="91">
        <v>0</v>
      </c>
      <c r="Z35" s="91">
        <v>0</v>
      </c>
      <c r="AA35" s="163"/>
      <c r="AC35" s="171"/>
      <c r="AM35" s="95"/>
      <c r="AN35" s="96"/>
      <c r="AO35" s="95"/>
      <c r="AP35" s="96"/>
      <c r="AQ35" s="96"/>
      <c r="AR35" s="96"/>
      <c r="AS35" s="98"/>
      <c r="AT35" s="99"/>
      <c r="AU35" s="96"/>
      <c r="AV35" s="96"/>
      <c r="AW35" s="96"/>
      <c r="AX35" s="96"/>
    </row>
    <row r="36" spans="1:50" x14ac:dyDescent="0.25">
      <c r="A36" s="3">
        <v>24</v>
      </c>
      <c r="C36" s="5">
        <v>1</v>
      </c>
      <c r="E36" s="2"/>
      <c r="G36" s="98"/>
      <c r="I36" s="321"/>
      <c r="J36" s="92"/>
      <c r="K36" s="91">
        <v>4</v>
      </c>
      <c r="L36" s="92"/>
      <c r="M36" s="2"/>
      <c r="O36" s="3">
        <v>24</v>
      </c>
      <c r="P36" s="92"/>
      <c r="Q36" s="91">
        <v>1</v>
      </c>
      <c r="R36" s="92"/>
      <c r="S36" s="92"/>
      <c r="T36" s="2"/>
      <c r="V36" s="321"/>
      <c r="W36" s="92"/>
      <c r="X36" s="91">
        <v>4</v>
      </c>
      <c r="Y36" s="91">
        <v>0</v>
      </c>
      <c r="Z36" s="91">
        <v>0</v>
      </c>
      <c r="AA36" s="163"/>
      <c r="AC36" s="171"/>
      <c r="AM36" s="95"/>
      <c r="AN36" s="96"/>
      <c r="AO36" s="95"/>
      <c r="AP36" s="96"/>
      <c r="AQ36" s="96"/>
      <c r="AR36" s="96"/>
      <c r="AS36" s="98"/>
      <c r="AT36" s="99"/>
      <c r="AU36" s="96"/>
      <c r="AV36" s="96"/>
      <c r="AW36" s="96"/>
      <c r="AX36" s="96"/>
    </row>
    <row r="37" spans="1:50" x14ac:dyDescent="0.25">
      <c r="A37" s="3">
        <v>24</v>
      </c>
      <c r="C37" s="5">
        <v>1</v>
      </c>
      <c r="E37" s="2"/>
      <c r="G37" s="98"/>
      <c r="I37" s="321"/>
      <c r="J37" s="92"/>
      <c r="K37" s="91">
        <v>4</v>
      </c>
      <c r="L37" s="92"/>
      <c r="M37" s="2"/>
      <c r="O37" s="3">
        <v>24</v>
      </c>
      <c r="P37" s="92"/>
      <c r="Q37" s="91">
        <v>1</v>
      </c>
      <c r="R37" s="92"/>
      <c r="S37" s="92"/>
      <c r="T37" s="2"/>
      <c r="V37" s="321"/>
      <c r="W37" s="92"/>
      <c r="X37" s="91">
        <v>4</v>
      </c>
      <c r="Y37" s="91">
        <v>0</v>
      </c>
      <c r="Z37" s="91">
        <v>0</v>
      </c>
      <c r="AA37" s="163"/>
      <c r="AC37" s="171"/>
      <c r="AM37" s="95"/>
      <c r="AN37" s="96"/>
      <c r="AO37" s="95"/>
      <c r="AP37" s="96"/>
      <c r="AQ37" s="96"/>
      <c r="AR37" s="96"/>
      <c r="AS37" s="98"/>
      <c r="AT37" s="99"/>
      <c r="AU37" s="96"/>
      <c r="AV37" s="96"/>
      <c r="AW37" s="96"/>
      <c r="AX37" s="96"/>
    </row>
    <row r="38" spans="1:50" x14ac:dyDescent="0.25">
      <c r="A38" s="3">
        <v>24</v>
      </c>
      <c r="C38" s="5">
        <v>1</v>
      </c>
      <c r="E38" s="2"/>
      <c r="G38" s="98"/>
      <c r="I38" s="321"/>
      <c r="J38" s="92"/>
      <c r="K38" s="91">
        <v>4</v>
      </c>
      <c r="L38" s="92"/>
      <c r="M38" s="2"/>
      <c r="O38" s="3">
        <v>24</v>
      </c>
      <c r="P38" s="92"/>
      <c r="Q38" s="91">
        <v>1</v>
      </c>
      <c r="R38" s="92"/>
      <c r="S38" s="92"/>
      <c r="T38" s="2"/>
      <c r="V38" s="321"/>
      <c r="W38" s="92"/>
      <c r="X38" s="91">
        <v>4</v>
      </c>
      <c r="Y38" s="91">
        <v>0</v>
      </c>
      <c r="Z38" s="91">
        <v>0</v>
      </c>
      <c r="AA38" s="163"/>
      <c r="AC38" s="118"/>
      <c r="AM38" s="95"/>
      <c r="AN38" s="96"/>
      <c r="AO38" s="95"/>
      <c r="AP38" s="96"/>
      <c r="AQ38" s="96"/>
      <c r="AR38" s="96"/>
      <c r="AS38" s="98"/>
      <c r="AT38" s="99"/>
      <c r="AU38" s="96"/>
      <c r="AV38" s="96"/>
      <c r="AW38" s="96"/>
      <c r="AX38" s="96"/>
    </row>
    <row r="39" spans="1:50" x14ac:dyDescent="0.25">
      <c r="A39" s="3">
        <v>24</v>
      </c>
      <c r="C39" s="5">
        <v>1</v>
      </c>
      <c r="E39" s="2"/>
      <c r="G39" s="170"/>
      <c r="I39" s="321"/>
      <c r="J39" s="92"/>
      <c r="K39" s="91">
        <v>4</v>
      </c>
      <c r="L39" s="92"/>
      <c r="M39" s="2"/>
      <c r="O39" s="3">
        <v>24</v>
      </c>
      <c r="P39" s="92"/>
      <c r="Q39" s="91">
        <v>1</v>
      </c>
      <c r="R39" s="92"/>
      <c r="S39" s="92"/>
      <c r="T39" s="2"/>
      <c r="V39" s="321"/>
      <c r="W39" s="92"/>
      <c r="X39" s="91">
        <v>4</v>
      </c>
      <c r="Y39" s="91">
        <v>0</v>
      </c>
      <c r="Z39" s="91">
        <v>0</v>
      </c>
      <c r="AA39" s="163"/>
      <c r="AC39" s="171"/>
      <c r="AM39" s="95"/>
      <c r="AN39" s="96"/>
      <c r="AO39" s="95"/>
      <c r="AP39" s="96"/>
      <c r="AQ39" s="96"/>
      <c r="AR39" s="96"/>
      <c r="AS39" s="293"/>
      <c r="AT39" s="293"/>
      <c r="AU39" s="96"/>
      <c r="AV39" s="96"/>
      <c r="AW39" s="96"/>
      <c r="AX39" s="96"/>
    </row>
    <row r="40" spans="1:50" x14ac:dyDescent="0.25">
      <c r="A40" s="3">
        <v>24</v>
      </c>
      <c r="C40" s="5">
        <v>1</v>
      </c>
      <c r="E40" s="2"/>
      <c r="G40" s="98"/>
      <c r="I40" s="321"/>
      <c r="J40" s="92"/>
      <c r="K40" s="91">
        <v>0</v>
      </c>
      <c r="L40" s="92"/>
      <c r="M40" s="2"/>
      <c r="O40" s="3">
        <v>24</v>
      </c>
      <c r="P40" s="92"/>
      <c r="Q40" s="91">
        <v>1</v>
      </c>
      <c r="R40" s="92"/>
      <c r="S40" s="92"/>
      <c r="T40" s="2"/>
      <c r="V40" s="321"/>
      <c r="W40" s="92"/>
      <c r="X40" s="91">
        <v>0</v>
      </c>
      <c r="Y40" s="91">
        <v>0</v>
      </c>
      <c r="Z40" s="91">
        <v>0</v>
      </c>
      <c r="AA40" s="163"/>
      <c r="AC40" s="171"/>
      <c r="AM40" s="95"/>
      <c r="AN40" s="96"/>
      <c r="AO40" s="95"/>
      <c r="AP40" s="96"/>
      <c r="AQ40" s="96"/>
      <c r="AR40" s="96"/>
      <c r="AS40" s="98"/>
      <c r="AT40" s="99"/>
      <c r="AU40" s="96"/>
      <c r="AV40" s="96"/>
      <c r="AW40" s="96"/>
      <c r="AX40" s="96"/>
    </row>
    <row r="41" spans="1:50" x14ac:dyDescent="0.25">
      <c r="A41" s="3">
        <v>24</v>
      </c>
      <c r="C41" s="5">
        <v>0</v>
      </c>
      <c r="E41" s="2"/>
      <c r="G41" s="98"/>
      <c r="I41" s="321"/>
      <c r="J41" s="92"/>
      <c r="K41" s="91">
        <v>0</v>
      </c>
      <c r="L41" s="92"/>
      <c r="M41" s="2"/>
      <c r="O41" s="3">
        <v>24</v>
      </c>
      <c r="P41" s="92"/>
      <c r="Q41" s="91">
        <v>0</v>
      </c>
      <c r="R41" s="92"/>
      <c r="S41" s="92"/>
      <c r="T41" s="2"/>
      <c r="V41" s="321"/>
      <c r="W41" s="92"/>
      <c r="X41" s="91">
        <v>0</v>
      </c>
      <c r="Y41" s="91">
        <v>0</v>
      </c>
      <c r="Z41" s="91">
        <v>0</v>
      </c>
      <c r="AA41" s="163"/>
      <c r="AC41" s="171"/>
      <c r="AM41" s="95"/>
      <c r="AN41" s="96"/>
      <c r="AO41" s="95"/>
      <c r="AP41" s="96"/>
      <c r="AQ41" s="96"/>
      <c r="AR41" s="96"/>
      <c r="AS41" s="98"/>
      <c r="AT41" s="99"/>
      <c r="AU41" s="96"/>
      <c r="AV41" s="96"/>
      <c r="AW41" s="96"/>
      <c r="AX41" s="96"/>
    </row>
    <row r="42" spans="1:50" x14ac:dyDescent="0.25">
      <c r="A42" s="3">
        <v>24</v>
      </c>
      <c r="C42" s="5">
        <v>0</v>
      </c>
      <c r="E42" s="2"/>
      <c r="G42" s="98"/>
      <c r="I42" s="321"/>
      <c r="J42" s="92"/>
      <c r="K42" s="91">
        <v>0</v>
      </c>
      <c r="L42" s="92"/>
      <c r="M42" s="2"/>
      <c r="O42" s="3">
        <v>24</v>
      </c>
      <c r="P42" s="92"/>
      <c r="Q42" s="91">
        <v>0</v>
      </c>
      <c r="R42" s="92"/>
      <c r="S42" s="92"/>
      <c r="T42" s="2"/>
      <c r="V42" s="321"/>
      <c r="W42" s="92"/>
      <c r="X42" s="91">
        <v>0</v>
      </c>
      <c r="Y42" s="91">
        <v>0</v>
      </c>
      <c r="Z42" s="91">
        <v>0</v>
      </c>
      <c r="AA42" s="163"/>
      <c r="AC42" s="171"/>
      <c r="AM42" s="95"/>
      <c r="AN42" s="96"/>
      <c r="AO42" s="95"/>
      <c r="AP42" s="96"/>
      <c r="AQ42" s="96"/>
      <c r="AR42" s="96"/>
      <c r="AS42" s="98"/>
      <c r="AT42" s="99"/>
      <c r="AU42" s="96"/>
      <c r="AV42" s="96"/>
      <c r="AW42" s="96"/>
      <c r="AX42" s="96"/>
    </row>
    <row r="43" spans="1:50" x14ac:dyDescent="0.25">
      <c r="A43" s="3">
        <v>24</v>
      </c>
      <c r="C43" s="5">
        <v>0</v>
      </c>
      <c r="E43" s="2"/>
      <c r="G43" s="98"/>
      <c r="I43" s="321"/>
      <c r="J43" s="92"/>
      <c r="K43" s="91">
        <v>0</v>
      </c>
      <c r="L43" s="92"/>
      <c r="M43" s="2"/>
      <c r="O43" s="3">
        <v>24</v>
      </c>
      <c r="P43" s="92"/>
      <c r="Q43" s="91">
        <v>0</v>
      </c>
      <c r="R43" s="92"/>
      <c r="S43" s="92"/>
      <c r="T43" s="2"/>
      <c r="V43" s="321"/>
      <c r="W43" s="92"/>
      <c r="X43" s="91">
        <v>0</v>
      </c>
      <c r="Y43" s="91">
        <v>0</v>
      </c>
      <c r="Z43" s="91">
        <v>0</v>
      </c>
      <c r="AA43" s="163"/>
      <c r="AC43" s="171"/>
      <c r="AM43" s="95"/>
      <c r="AN43" s="96"/>
      <c r="AO43" s="95"/>
      <c r="AP43" s="96"/>
      <c r="AQ43" s="96"/>
      <c r="AR43" s="96"/>
      <c r="AS43" s="98"/>
      <c r="AT43" s="99"/>
      <c r="AU43" s="96"/>
      <c r="AV43" s="96"/>
      <c r="AW43" s="96"/>
      <c r="AX43" s="96"/>
    </row>
    <row r="44" spans="1:50" x14ac:dyDescent="0.25">
      <c r="A44" s="3">
        <v>24</v>
      </c>
      <c r="C44" s="5">
        <v>0</v>
      </c>
      <c r="E44" s="2"/>
      <c r="G44" s="98"/>
      <c r="I44" s="321"/>
      <c r="J44" s="92"/>
      <c r="K44" s="91">
        <v>0</v>
      </c>
      <c r="L44" s="92"/>
      <c r="M44" s="2"/>
      <c r="O44" s="3">
        <v>24</v>
      </c>
      <c r="P44" s="92"/>
      <c r="Q44" s="91">
        <v>0</v>
      </c>
      <c r="R44" s="92"/>
      <c r="S44" s="92"/>
      <c r="T44" s="2"/>
      <c r="V44" s="321"/>
      <c r="W44" s="92"/>
      <c r="X44" s="91">
        <v>0</v>
      </c>
      <c r="Y44" s="91">
        <v>0</v>
      </c>
      <c r="Z44" s="91">
        <v>0</v>
      </c>
      <c r="AA44" s="163"/>
      <c r="AC44" s="171"/>
      <c r="AM44" s="95"/>
      <c r="AN44" s="96"/>
      <c r="AO44" s="95"/>
      <c r="AP44" s="96"/>
      <c r="AQ44" s="96"/>
      <c r="AR44" s="96"/>
      <c r="AS44" s="98"/>
      <c r="AT44" s="99"/>
      <c r="AU44" s="96"/>
      <c r="AV44" s="96"/>
      <c r="AW44" s="96"/>
      <c r="AX44" s="96"/>
    </row>
    <row r="45" spans="1:50" x14ac:dyDescent="0.25">
      <c r="A45" s="3">
        <v>24</v>
      </c>
      <c r="C45" s="5">
        <v>0</v>
      </c>
      <c r="E45" s="2"/>
      <c r="G45" s="98"/>
      <c r="I45" s="321"/>
      <c r="J45" s="92"/>
      <c r="K45" s="91">
        <v>0</v>
      </c>
      <c r="L45" s="92"/>
      <c r="M45" s="2"/>
      <c r="O45" s="3">
        <v>24</v>
      </c>
      <c r="P45" s="92"/>
      <c r="Q45" s="91">
        <v>0</v>
      </c>
      <c r="R45" s="92"/>
      <c r="S45" s="92"/>
      <c r="T45" s="2"/>
      <c r="V45" s="321"/>
      <c r="W45" s="92"/>
      <c r="X45" s="91">
        <v>0</v>
      </c>
      <c r="Y45" s="91"/>
      <c r="Z45" s="92"/>
      <c r="AA45" s="163"/>
      <c r="AC45" s="118"/>
      <c r="AM45" s="95"/>
      <c r="AN45" s="96"/>
      <c r="AO45" s="95"/>
      <c r="AP45" s="96"/>
      <c r="AQ45" s="96"/>
      <c r="AR45" s="96"/>
      <c r="AS45" s="98"/>
      <c r="AT45" s="99"/>
      <c r="AU45" s="96"/>
      <c r="AV45" s="96"/>
      <c r="AW45" s="96"/>
      <c r="AX45" s="96"/>
    </row>
    <row r="46" spans="1:50" x14ac:dyDescent="0.25">
      <c r="A46" s="3">
        <v>24</v>
      </c>
      <c r="C46" s="5">
        <v>0</v>
      </c>
      <c r="E46" s="2"/>
      <c r="G46" s="170"/>
      <c r="I46" s="321"/>
      <c r="J46" s="92"/>
      <c r="K46" s="91">
        <v>0</v>
      </c>
      <c r="L46" s="92"/>
      <c r="M46" s="2"/>
      <c r="O46" s="3">
        <v>24</v>
      </c>
      <c r="P46" s="92"/>
      <c r="Q46" s="91">
        <v>0</v>
      </c>
      <c r="R46" s="92"/>
      <c r="S46" s="92"/>
      <c r="T46" s="2"/>
      <c r="V46" s="321"/>
      <c r="W46" s="92"/>
      <c r="X46" s="91">
        <v>0</v>
      </c>
      <c r="Y46" s="91"/>
      <c r="Z46" s="92"/>
      <c r="AA46" s="163"/>
      <c r="AC46" s="171"/>
      <c r="AM46" s="95"/>
      <c r="AN46" s="96"/>
      <c r="AO46" s="95"/>
      <c r="AP46" s="96"/>
      <c r="AQ46" s="96"/>
      <c r="AR46" s="96"/>
      <c r="AS46" s="96"/>
      <c r="AT46" s="96"/>
      <c r="AU46" s="96"/>
      <c r="AV46" s="96"/>
      <c r="AW46" s="96"/>
      <c r="AX46" s="96"/>
    </row>
    <row r="47" spans="1:50" x14ac:dyDescent="0.25">
      <c r="A47" s="3">
        <v>24</v>
      </c>
      <c r="C47" s="5">
        <v>0</v>
      </c>
      <c r="E47" s="2"/>
      <c r="G47" s="98"/>
      <c r="I47" s="321"/>
      <c r="J47" s="92"/>
      <c r="K47" s="91">
        <v>0</v>
      </c>
      <c r="L47" s="92"/>
      <c r="M47" s="2"/>
      <c r="O47" s="3">
        <v>24</v>
      </c>
      <c r="P47" s="92"/>
      <c r="Q47" s="91">
        <v>0</v>
      </c>
      <c r="R47" s="92"/>
      <c r="S47" s="92"/>
      <c r="T47" s="2"/>
      <c r="V47" s="321"/>
      <c r="W47" s="92"/>
      <c r="X47" s="91">
        <v>0</v>
      </c>
      <c r="Y47" s="91"/>
      <c r="Z47" s="92"/>
      <c r="AA47" s="163"/>
      <c r="AC47" s="171"/>
      <c r="AM47" s="95"/>
      <c r="AN47" s="96"/>
      <c r="AO47" s="95"/>
      <c r="AP47" s="96"/>
      <c r="AQ47" s="96"/>
      <c r="AR47" s="96"/>
      <c r="AS47" s="96"/>
      <c r="AT47" s="96"/>
      <c r="AU47" s="96"/>
      <c r="AV47" s="96"/>
      <c r="AW47" s="96"/>
      <c r="AX47" s="96"/>
    </row>
    <row r="48" spans="1:50" x14ac:dyDescent="0.25">
      <c r="A48" s="3">
        <v>24</v>
      </c>
      <c r="C48" s="5">
        <v>0</v>
      </c>
      <c r="E48" s="2"/>
      <c r="G48" s="98"/>
      <c r="I48" s="321"/>
      <c r="J48" s="92"/>
      <c r="K48" s="91">
        <v>0</v>
      </c>
      <c r="L48" s="92"/>
      <c r="M48" s="2"/>
      <c r="O48" s="3">
        <v>24</v>
      </c>
      <c r="P48" s="92"/>
      <c r="Q48" s="91">
        <v>0</v>
      </c>
      <c r="R48" s="92"/>
      <c r="S48" s="92"/>
      <c r="T48" s="2"/>
      <c r="V48" s="321"/>
      <c r="W48" s="92"/>
      <c r="X48" s="91">
        <v>0</v>
      </c>
      <c r="Y48" s="91"/>
      <c r="Z48" s="92"/>
      <c r="AA48" s="163"/>
      <c r="AC48" s="171"/>
      <c r="AM48" s="95"/>
      <c r="AN48" s="96"/>
      <c r="AO48" s="95"/>
      <c r="AP48" s="96"/>
      <c r="AQ48" s="96"/>
      <c r="AR48" s="96"/>
      <c r="AS48" s="96"/>
      <c r="AT48" s="96"/>
      <c r="AU48" s="96"/>
      <c r="AV48" s="96"/>
      <c r="AW48" s="96"/>
      <c r="AX48" s="96"/>
    </row>
    <row r="49" spans="1:50" x14ac:dyDescent="0.25">
      <c r="A49" s="3">
        <v>24</v>
      </c>
      <c r="C49" s="5">
        <v>0</v>
      </c>
      <c r="E49" s="2"/>
      <c r="G49" s="98"/>
      <c r="I49" s="321"/>
      <c r="J49" s="92"/>
      <c r="K49" s="91">
        <v>0</v>
      </c>
      <c r="L49" s="92"/>
      <c r="M49" s="2"/>
      <c r="O49" s="3">
        <v>24</v>
      </c>
      <c r="P49" s="92"/>
      <c r="Q49" s="91">
        <v>0</v>
      </c>
      <c r="R49" s="92"/>
      <c r="S49" s="92"/>
      <c r="T49" s="2"/>
      <c r="V49" s="321"/>
      <c r="W49" s="92"/>
      <c r="X49" s="91">
        <v>0</v>
      </c>
      <c r="Y49" s="91"/>
      <c r="Z49" s="92"/>
      <c r="AA49" s="163"/>
      <c r="AC49" s="171"/>
      <c r="AM49" s="95"/>
      <c r="AN49" s="96"/>
      <c r="AO49" s="95"/>
      <c r="AP49" s="96"/>
      <c r="AQ49" s="96"/>
      <c r="AR49" s="96"/>
      <c r="AS49" s="96"/>
      <c r="AT49" s="96"/>
      <c r="AU49" s="96"/>
      <c r="AV49" s="96"/>
      <c r="AW49" s="96"/>
      <c r="AX49" s="96"/>
    </row>
    <row r="50" spans="1:50" x14ac:dyDescent="0.25">
      <c r="A50" s="3">
        <v>1</v>
      </c>
      <c r="C50" s="5">
        <v>1</v>
      </c>
      <c r="E50" s="2"/>
      <c r="G50" s="98"/>
      <c r="I50" s="321"/>
      <c r="J50" s="92"/>
      <c r="K50" s="91">
        <v>0</v>
      </c>
      <c r="L50" s="92"/>
      <c r="M50" s="2"/>
      <c r="O50" s="3">
        <v>1</v>
      </c>
      <c r="P50" s="92"/>
      <c r="Q50" s="91">
        <v>1</v>
      </c>
      <c r="R50" s="92"/>
      <c r="S50" s="92"/>
      <c r="T50" s="2"/>
      <c r="V50" s="321"/>
      <c r="W50" s="92"/>
      <c r="X50" s="91">
        <v>0</v>
      </c>
      <c r="Y50" s="91"/>
      <c r="Z50" s="92"/>
      <c r="AA50" s="163"/>
      <c r="AC50" s="171"/>
      <c r="AM50" s="95"/>
      <c r="AN50" s="96"/>
      <c r="AO50" s="95"/>
      <c r="AP50" s="96"/>
      <c r="AQ50" s="96"/>
      <c r="AR50" s="96"/>
      <c r="AS50" s="96"/>
      <c r="AT50" s="96"/>
      <c r="AU50" s="96"/>
      <c r="AV50" s="96"/>
      <c r="AW50" s="96"/>
      <c r="AX50" s="96"/>
    </row>
    <row r="51" spans="1:50" x14ac:dyDescent="0.25">
      <c r="A51" s="3">
        <v>1</v>
      </c>
      <c r="C51" s="5">
        <v>1</v>
      </c>
      <c r="E51" s="2"/>
      <c r="G51" s="98"/>
      <c r="I51" s="321"/>
      <c r="J51" s="92"/>
      <c r="K51" s="91">
        <v>0</v>
      </c>
      <c r="L51" s="92"/>
      <c r="M51" s="2"/>
      <c r="O51" s="3">
        <v>1</v>
      </c>
      <c r="P51" s="92"/>
      <c r="Q51" s="91">
        <v>1</v>
      </c>
      <c r="R51" s="92"/>
      <c r="S51" s="92"/>
      <c r="T51" s="2"/>
      <c r="V51" s="321"/>
      <c r="W51" s="92"/>
      <c r="X51" s="91">
        <v>0</v>
      </c>
      <c r="Y51" s="91"/>
      <c r="Z51" s="92"/>
      <c r="AA51" s="163"/>
      <c r="AC51" s="171"/>
      <c r="AM51" s="95"/>
      <c r="AN51" s="96"/>
      <c r="AO51" s="95"/>
      <c r="AP51" s="96"/>
      <c r="AQ51" s="96"/>
      <c r="AR51" s="96"/>
      <c r="AS51" s="96"/>
      <c r="AT51" s="96"/>
      <c r="AU51" s="96"/>
      <c r="AV51" s="96"/>
      <c r="AW51" s="96"/>
      <c r="AX51" s="96"/>
    </row>
    <row r="52" spans="1:50" x14ac:dyDescent="0.25">
      <c r="A52" s="3">
        <v>3</v>
      </c>
      <c r="C52" s="5">
        <v>1</v>
      </c>
      <c r="E52" s="2"/>
      <c r="G52" s="98"/>
      <c r="I52" s="321"/>
      <c r="J52" s="92"/>
      <c r="K52" s="91">
        <v>0</v>
      </c>
      <c r="L52" s="92"/>
      <c r="M52" s="2"/>
      <c r="O52" s="3">
        <v>3</v>
      </c>
      <c r="P52" s="92"/>
      <c r="Q52" s="91">
        <v>1</v>
      </c>
      <c r="R52" s="92"/>
      <c r="S52" s="92"/>
      <c r="T52" s="2"/>
      <c r="V52" s="321"/>
      <c r="W52" s="92"/>
      <c r="X52" s="91">
        <v>0</v>
      </c>
      <c r="Y52" s="91"/>
      <c r="Z52" s="92"/>
      <c r="AA52" s="163"/>
      <c r="AC52" s="90"/>
      <c r="AM52" s="95"/>
      <c r="AN52" s="96"/>
      <c r="AO52" s="95"/>
      <c r="AP52" s="96"/>
      <c r="AQ52" s="96"/>
      <c r="AR52" s="96"/>
      <c r="AS52" s="96"/>
      <c r="AT52" s="96"/>
      <c r="AU52" s="96"/>
      <c r="AV52" s="96"/>
      <c r="AW52" s="96"/>
      <c r="AX52" s="96"/>
    </row>
    <row r="53" spans="1:50" x14ac:dyDescent="0.25">
      <c r="A53" s="3">
        <v>5</v>
      </c>
      <c r="C53" s="5">
        <v>1</v>
      </c>
      <c r="E53" s="2"/>
      <c r="G53" s="96"/>
      <c r="I53" s="321"/>
      <c r="J53" s="92"/>
      <c r="K53" s="91">
        <v>0</v>
      </c>
      <c r="L53" s="92"/>
      <c r="M53" s="2"/>
      <c r="O53" s="3">
        <v>5</v>
      </c>
      <c r="P53" s="92"/>
      <c r="Q53" s="91">
        <v>1</v>
      </c>
      <c r="R53" s="92"/>
      <c r="S53" s="92"/>
      <c r="T53" s="2"/>
      <c r="V53" s="321"/>
      <c r="W53" s="92"/>
      <c r="X53" s="91">
        <v>0</v>
      </c>
      <c r="Y53" s="91"/>
      <c r="Z53" s="92"/>
      <c r="AA53" s="163"/>
      <c r="AC53" s="171"/>
      <c r="AM53" s="95"/>
      <c r="AN53" s="96"/>
      <c r="AO53" s="95"/>
      <c r="AP53" s="96"/>
      <c r="AQ53" s="96"/>
      <c r="AR53" s="96"/>
      <c r="AS53" s="96"/>
      <c r="AT53" s="96"/>
      <c r="AU53" s="96"/>
      <c r="AV53" s="96"/>
      <c r="AW53" s="96"/>
      <c r="AX53" s="96"/>
    </row>
    <row r="54" spans="1:50" x14ac:dyDescent="0.25">
      <c r="A54" s="3">
        <v>5</v>
      </c>
      <c r="C54" s="5">
        <v>1</v>
      </c>
      <c r="E54" s="2"/>
      <c r="G54" s="96"/>
      <c r="I54" s="321"/>
      <c r="J54" s="92"/>
      <c r="K54" s="91">
        <v>0</v>
      </c>
      <c r="L54" s="92"/>
      <c r="M54" s="2"/>
      <c r="O54" s="3">
        <v>5</v>
      </c>
      <c r="P54" s="92"/>
      <c r="Q54" s="91">
        <v>1</v>
      </c>
      <c r="R54" s="92"/>
      <c r="S54" s="92"/>
      <c r="T54" s="2"/>
      <c r="V54" s="321"/>
      <c r="W54" s="92"/>
      <c r="X54" s="91">
        <v>0</v>
      </c>
      <c r="Y54" s="91"/>
      <c r="Z54" s="92"/>
      <c r="AA54" s="163"/>
      <c r="AC54" s="171"/>
      <c r="AM54" s="95"/>
      <c r="AN54" s="96"/>
      <c r="AO54" s="95"/>
      <c r="AP54" s="96"/>
      <c r="AQ54" s="96"/>
      <c r="AR54" s="96"/>
      <c r="AS54" s="96"/>
      <c r="AT54" s="96"/>
      <c r="AU54" s="96"/>
      <c r="AV54" s="96"/>
      <c r="AW54" s="96"/>
      <c r="AX54" s="96"/>
    </row>
    <row r="55" spans="1:50" x14ac:dyDescent="0.25">
      <c r="A55" s="3">
        <v>5</v>
      </c>
      <c r="C55" s="5">
        <v>1</v>
      </c>
      <c r="E55" s="2"/>
      <c r="I55" s="321"/>
      <c r="J55" s="92"/>
      <c r="K55" s="91">
        <v>0</v>
      </c>
      <c r="L55" s="92"/>
      <c r="M55" s="2"/>
      <c r="O55" s="3">
        <v>5</v>
      </c>
      <c r="P55" s="92"/>
      <c r="Q55" s="91">
        <v>1</v>
      </c>
      <c r="R55" s="92"/>
      <c r="S55" s="92"/>
      <c r="T55" s="2"/>
      <c r="V55" s="321"/>
      <c r="W55" s="92"/>
      <c r="X55" s="91">
        <v>0</v>
      </c>
      <c r="Y55" s="91"/>
      <c r="Z55" s="92"/>
      <c r="AA55" s="163"/>
      <c r="AC55" s="171"/>
      <c r="AM55" s="95"/>
      <c r="AN55" s="96"/>
      <c r="AO55" s="95"/>
      <c r="AP55" s="96"/>
      <c r="AQ55" s="96"/>
      <c r="AR55" s="96"/>
      <c r="AS55" s="96"/>
      <c r="AT55" s="96"/>
      <c r="AU55" s="96"/>
      <c r="AV55" s="96"/>
      <c r="AW55" s="96"/>
      <c r="AX55" s="96"/>
    </row>
    <row r="56" spans="1:50" x14ac:dyDescent="0.25">
      <c r="A56" s="3">
        <v>6</v>
      </c>
      <c r="C56" s="5">
        <v>1</v>
      </c>
      <c r="E56" s="2"/>
      <c r="I56" s="321"/>
      <c r="J56" s="92"/>
      <c r="K56" s="91">
        <v>0</v>
      </c>
      <c r="L56" s="92"/>
      <c r="M56" s="2"/>
      <c r="O56" s="3">
        <v>6</v>
      </c>
      <c r="P56" s="92"/>
      <c r="Q56" s="91">
        <v>1</v>
      </c>
      <c r="R56" s="92"/>
      <c r="S56" s="92"/>
      <c r="T56" s="2"/>
      <c r="V56" s="321"/>
      <c r="W56" s="92"/>
      <c r="X56" s="91">
        <v>0</v>
      </c>
      <c r="Y56" s="91"/>
      <c r="Z56" s="92"/>
      <c r="AA56" s="163"/>
      <c r="AC56" s="171"/>
      <c r="AM56" s="95"/>
      <c r="AN56" s="96"/>
      <c r="AO56" s="95"/>
      <c r="AP56" s="96"/>
      <c r="AQ56" s="96"/>
      <c r="AR56" s="96"/>
      <c r="AS56" s="96"/>
      <c r="AT56" s="96"/>
      <c r="AU56" s="96"/>
      <c r="AV56" s="96"/>
      <c r="AW56" s="96"/>
      <c r="AX56" s="96"/>
    </row>
    <row r="57" spans="1:50" x14ac:dyDescent="0.25">
      <c r="A57" s="3">
        <v>7</v>
      </c>
      <c r="C57" s="5">
        <v>1</v>
      </c>
      <c r="E57" s="2"/>
      <c r="I57" s="321"/>
      <c r="J57" s="92"/>
      <c r="K57" s="91">
        <v>0</v>
      </c>
      <c r="L57" s="92"/>
      <c r="M57" s="2"/>
      <c r="O57" s="3">
        <v>7</v>
      </c>
      <c r="P57" s="92"/>
      <c r="Q57" s="91">
        <v>1</v>
      </c>
      <c r="R57" s="92"/>
      <c r="S57" s="92"/>
      <c r="T57" s="2"/>
      <c r="V57" s="321"/>
      <c r="W57" s="92"/>
      <c r="X57" s="91">
        <v>0</v>
      </c>
      <c r="Y57" s="91"/>
      <c r="Z57" s="92"/>
      <c r="AA57" s="163"/>
      <c r="AC57" s="171"/>
      <c r="AM57" s="95"/>
      <c r="AN57" s="96"/>
      <c r="AO57" s="95"/>
      <c r="AP57" s="96"/>
      <c r="AQ57" s="96"/>
      <c r="AR57" s="96"/>
      <c r="AS57" s="96"/>
      <c r="AT57" s="96"/>
      <c r="AU57" s="96"/>
      <c r="AV57" s="96"/>
      <c r="AW57" s="96"/>
      <c r="AX57" s="96"/>
    </row>
    <row r="58" spans="1:50" x14ac:dyDescent="0.25">
      <c r="A58" s="3">
        <v>7</v>
      </c>
      <c r="C58" s="5">
        <v>1</v>
      </c>
      <c r="E58" s="2"/>
      <c r="I58" s="321"/>
      <c r="J58" s="92"/>
      <c r="K58" s="91">
        <v>0</v>
      </c>
      <c r="L58" s="92"/>
      <c r="M58" s="2"/>
      <c r="O58" s="3">
        <v>7</v>
      </c>
      <c r="P58" s="92"/>
      <c r="Q58" s="91">
        <v>1</v>
      </c>
      <c r="R58" s="92"/>
      <c r="S58" s="92"/>
      <c r="T58" s="2"/>
      <c r="V58" s="321"/>
      <c r="W58" s="92"/>
      <c r="X58" s="91">
        <v>0</v>
      </c>
      <c r="Y58" s="91"/>
      <c r="Z58" s="92"/>
      <c r="AA58" s="163"/>
      <c r="AC58" s="171"/>
      <c r="AM58" s="95"/>
      <c r="AN58" s="96"/>
      <c r="AO58" s="95"/>
      <c r="AP58" s="96"/>
      <c r="AQ58" s="96"/>
      <c r="AR58" s="96"/>
      <c r="AS58" s="96"/>
      <c r="AT58" s="96"/>
      <c r="AU58" s="96"/>
      <c r="AV58" s="96"/>
      <c r="AW58" s="96"/>
      <c r="AX58" s="96"/>
    </row>
    <row r="59" spans="1:50" x14ac:dyDescent="0.25">
      <c r="A59" s="3">
        <v>8</v>
      </c>
      <c r="C59" s="5">
        <v>1</v>
      </c>
      <c r="E59" s="2"/>
      <c r="I59" s="321"/>
      <c r="J59" s="92"/>
      <c r="K59" s="91">
        <v>0</v>
      </c>
      <c r="L59" s="92"/>
      <c r="M59" s="2"/>
      <c r="O59" s="3">
        <v>8</v>
      </c>
      <c r="P59" s="92"/>
      <c r="Q59" s="91">
        <v>1</v>
      </c>
      <c r="R59" s="92"/>
      <c r="S59" s="92"/>
      <c r="T59" s="2"/>
      <c r="V59" s="321"/>
      <c r="W59" s="92"/>
      <c r="X59" s="91">
        <v>0</v>
      </c>
      <c r="Y59" s="91"/>
      <c r="Z59" s="92"/>
      <c r="AA59" s="163"/>
      <c r="AC59" s="172"/>
      <c r="AM59" s="95"/>
      <c r="AN59" s="96"/>
      <c r="AO59" s="95"/>
      <c r="AP59" s="96"/>
      <c r="AQ59" s="96"/>
      <c r="AR59" s="96"/>
      <c r="AS59" s="96"/>
      <c r="AT59" s="96"/>
      <c r="AU59" s="96"/>
      <c r="AV59" s="96"/>
      <c r="AW59" s="96"/>
      <c r="AX59" s="96"/>
    </row>
    <row r="60" spans="1:50" x14ac:dyDescent="0.25">
      <c r="A60" s="3">
        <v>8</v>
      </c>
      <c r="C60" s="5">
        <v>1</v>
      </c>
      <c r="E60" s="2"/>
      <c r="I60" s="321"/>
      <c r="J60" s="92"/>
      <c r="K60" s="91">
        <v>0</v>
      </c>
      <c r="L60" s="92"/>
      <c r="M60" s="2"/>
      <c r="O60" s="3">
        <v>8</v>
      </c>
      <c r="P60" s="92"/>
      <c r="Q60" s="91">
        <v>1</v>
      </c>
      <c r="R60" s="92"/>
      <c r="S60" s="92"/>
      <c r="T60" s="2"/>
      <c r="V60" s="321"/>
      <c r="W60" s="92"/>
      <c r="X60" s="91">
        <v>0</v>
      </c>
      <c r="Y60" s="91"/>
      <c r="Z60" s="92"/>
      <c r="AA60" s="163"/>
      <c r="AC60" s="171"/>
      <c r="AM60" s="95"/>
      <c r="AN60" s="96"/>
      <c r="AO60" s="95"/>
      <c r="AP60" s="96"/>
      <c r="AQ60" s="96"/>
      <c r="AR60" s="96"/>
      <c r="AS60" s="96"/>
      <c r="AT60" s="96"/>
      <c r="AU60" s="96"/>
      <c r="AV60" s="96"/>
      <c r="AW60" s="96"/>
      <c r="AX60" s="96"/>
    </row>
    <row r="61" spans="1:50" x14ac:dyDescent="0.25">
      <c r="A61" s="3">
        <v>8</v>
      </c>
      <c r="C61" s="5">
        <v>1</v>
      </c>
      <c r="E61" s="2"/>
      <c r="I61" s="321"/>
      <c r="J61" s="92"/>
      <c r="K61" s="91">
        <v>0</v>
      </c>
      <c r="L61" s="92"/>
      <c r="M61" s="2"/>
      <c r="O61" s="3">
        <v>8</v>
      </c>
      <c r="P61" s="92"/>
      <c r="Q61" s="91">
        <v>1</v>
      </c>
      <c r="R61" s="92"/>
      <c r="S61" s="92"/>
      <c r="T61" s="2"/>
      <c r="V61" s="321"/>
      <c r="W61" s="92"/>
      <c r="X61" s="91">
        <v>0</v>
      </c>
      <c r="Y61" s="91"/>
      <c r="Z61" s="92"/>
      <c r="AA61" s="163"/>
      <c r="AC61" s="171"/>
      <c r="AM61" s="95"/>
      <c r="AN61" s="96"/>
      <c r="AO61" s="95"/>
      <c r="AP61" s="96"/>
      <c r="AQ61" s="96"/>
      <c r="AR61" s="96"/>
      <c r="AS61" s="96"/>
      <c r="AT61" s="96"/>
      <c r="AU61" s="96"/>
      <c r="AV61" s="96"/>
      <c r="AW61" s="96"/>
      <c r="AX61" s="96"/>
    </row>
    <row r="62" spans="1:50" x14ac:dyDescent="0.25">
      <c r="A62" s="3">
        <v>8</v>
      </c>
      <c r="C62" s="5">
        <v>1</v>
      </c>
      <c r="E62" s="2"/>
      <c r="I62" s="321"/>
      <c r="J62" s="92"/>
      <c r="K62" s="91">
        <v>0</v>
      </c>
      <c r="L62" s="92"/>
      <c r="M62" s="2"/>
      <c r="O62" s="3">
        <v>8</v>
      </c>
      <c r="P62" s="92"/>
      <c r="Q62" s="91">
        <v>1</v>
      </c>
      <c r="R62" s="92"/>
      <c r="S62" s="92"/>
      <c r="T62" s="2"/>
      <c r="V62" s="321"/>
      <c r="W62" s="92"/>
      <c r="X62" s="91">
        <v>0</v>
      </c>
      <c r="Y62" s="91"/>
      <c r="Z62" s="92"/>
      <c r="AA62" s="163"/>
      <c r="AC62" s="171"/>
      <c r="AM62" s="95"/>
      <c r="AN62" s="96"/>
      <c r="AO62" s="95"/>
      <c r="AP62" s="96"/>
      <c r="AQ62" s="96"/>
      <c r="AR62" s="96"/>
      <c r="AS62" s="96"/>
      <c r="AT62" s="96"/>
      <c r="AU62" s="96"/>
      <c r="AV62" s="96"/>
      <c r="AW62" s="96"/>
      <c r="AX62" s="96"/>
    </row>
    <row r="63" spans="1:50" x14ac:dyDescent="0.25">
      <c r="A63" s="3">
        <v>24</v>
      </c>
      <c r="C63" s="5">
        <v>1</v>
      </c>
      <c r="E63" s="2"/>
      <c r="I63" s="321"/>
      <c r="J63" s="92"/>
      <c r="K63" s="91">
        <v>4</v>
      </c>
      <c r="L63" s="92"/>
      <c r="M63" s="2"/>
      <c r="O63" s="3">
        <v>24</v>
      </c>
      <c r="P63" s="92"/>
      <c r="Q63" s="91">
        <v>1</v>
      </c>
      <c r="R63" s="92"/>
      <c r="S63" s="92"/>
      <c r="T63" s="2"/>
      <c r="V63" s="321"/>
      <c r="W63" s="92"/>
      <c r="X63" s="91">
        <v>4</v>
      </c>
      <c r="Y63" s="91"/>
      <c r="Z63" s="92"/>
      <c r="AA63" s="163"/>
      <c r="AC63" s="171"/>
      <c r="AM63" s="95"/>
      <c r="AN63" s="96"/>
      <c r="AO63" s="95"/>
      <c r="AP63" s="96"/>
      <c r="AQ63" s="96"/>
      <c r="AR63" s="96"/>
      <c r="AS63" s="96"/>
      <c r="AT63" s="96"/>
      <c r="AU63" s="96"/>
      <c r="AV63" s="96"/>
      <c r="AW63" s="96"/>
      <c r="AX63" s="96"/>
    </row>
    <row r="64" spans="1:50" x14ac:dyDescent="0.25">
      <c r="A64" s="3">
        <v>24</v>
      </c>
      <c r="C64" s="5">
        <v>1</v>
      </c>
      <c r="E64" s="2"/>
      <c r="I64" s="322"/>
      <c r="J64" s="15"/>
      <c r="K64" s="18">
        <v>4</v>
      </c>
      <c r="L64" s="15"/>
      <c r="M64" s="16"/>
      <c r="O64" s="3">
        <v>24</v>
      </c>
      <c r="P64" s="92"/>
      <c r="Q64" s="91">
        <v>1</v>
      </c>
      <c r="R64" s="92"/>
      <c r="S64" s="92"/>
      <c r="T64" s="2"/>
      <c r="V64" s="322"/>
      <c r="W64" s="15"/>
      <c r="X64" s="18">
        <v>4</v>
      </c>
      <c r="Y64" s="18"/>
      <c r="Z64" s="15"/>
      <c r="AA64" s="151"/>
      <c r="AC64" s="171"/>
      <c r="AM64" s="95"/>
      <c r="AN64" s="96"/>
      <c r="AO64" s="95"/>
      <c r="AP64" s="96"/>
      <c r="AQ64" s="96"/>
      <c r="AR64" s="96"/>
      <c r="AS64" s="96"/>
      <c r="AT64" s="96"/>
      <c r="AU64" s="96"/>
      <c r="AV64" s="96"/>
      <c r="AW64" s="96"/>
      <c r="AX64" s="96"/>
    </row>
    <row r="65" spans="1:50" x14ac:dyDescent="0.25">
      <c r="A65" s="3">
        <v>24</v>
      </c>
      <c r="C65" s="5">
        <v>1</v>
      </c>
      <c r="E65" s="2"/>
      <c r="O65" s="3">
        <v>24</v>
      </c>
      <c r="P65" s="92"/>
      <c r="Q65" s="91">
        <v>1</v>
      </c>
      <c r="R65" s="92"/>
      <c r="S65" s="92"/>
      <c r="T65" s="2"/>
      <c r="V65" s="103"/>
      <c r="AC65" s="171"/>
      <c r="AM65" s="95"/>
      <c r="AN65" s="96"/>
      <c r="AO65" s="95"/>
      <c r="AP65" s="96"/>
      <c r="AQ65" s="96"/>
      <c r="AR65" s="96"/>
      <c r="AS65" s="96"/>
      <c r="AT65" s="96"/>
      <c r="AU65" s="96"/>
      <c r="AV65" s="96"/>
      <c r="AW65" s="96"/>
      <c r="AX65" s="96"/>
    </row>
    <row r="66" spans="1:50" x14ac:dyDescent="0.25">
      <c r="A66" s="3">
        <v>24</v>
      </c>
      <c r="C66" s="5">
        <v>1</v>
      </c>
      <c r="E66" s="2"/>
      <c r="O66" s="3">
        <v>24</v>
      </c>
      <c r="P66" s="92"/>
      <c r="Q66" s="91">
        <v>1</v>
      </c>
      <c r="R66" s="92"/>
      <c r="S66" s="92"/>
      <c r="T66" s="2"/>
      <c r="V66" s="103"/>
      <c r="AC66" s="172"/>
      <c r="AM66" s="95"/>
      <c r="AN66" s="96"/>
      <c r="AO66" s="95"/>
      <c r="AP66" s="96"/>
      <c r="AQ66" s="96"/>
      <c r="AR66" s="96"/>
      <c r="AS66" s="96"/>
      <c r="AT66" s="96"/>
      <c r="AU66" s="96"/>
      <c r="AV66" s="96"/>
      <c r="AW66" s="96"/>
      <c r="AX66" s="96"/>
    </row>
    <row r="67" spans="1:50" x14ac:dyDescent="0.25">
      <c r="A67" s="3">
        <v>24</v>
      </c>
      <c r="C67" s="5">
        <v>1</v>
      </c>
      <c r="E67" s="2"/>
      <c r="O67" s="3">
        <v>24</v>
      </c>
      <c r="P67" s="92"/>
      <c r="Q67" s="91">
        <v>1</v>
      </c>
      <c r="R67" s="92"/>
      <c r="S67" s="92"/>
      <c r="T67" s="2"/>
      <c r="V67" s="103"/>
      <c r="AC67" s="171"/>
      <c r="AM67" s="95"/>
      <c r="AN67" s="96"/>
      <c r="AO67" s="95"/>
      <c r="AP67" s="96"/>
      <c r="AQ67" s="96"/>
      <c r="AR67" s="96"/>
      <c r="AS67" s="96"/>
      <c r="AT67" s="96"/>
      <c r="AU67" s="96"/>
      <c r="AV67" s="96"/>
      <c r="AW67" s="96"/>
      <c r="AX67" s="96"/>
    </row>
    <row r="68" spans="1:50" x14ac:dyDescent="0.25">
      <c r="A68" s="3">
        <v>24</v>
      </c>
      <c r="C68" s="5">
        <v>0</v>
      </c>
      <c r="E68" s="2"/>
      <c r="O68" s="3">
        <v>24</v>
      </c>
      <c r="P68" s="92"/>
      <c r="Q68" s="91">
        <v>0</v>
      </c>
      <c r="R68" s="92"/>
      <c r="S68" s="92"/>
      <c r="T68" s="2"/>
      <c r="V68" s="172"/>
      <c r="AC68" s="171"/>
      <c r="AM68" s="95"/>
      <c r="AN68" s="96"/>
      <c r="AO68" s="96"/>
      <c r="AP68" s="95"/>
      <c r="AQ68" s="95"/>
      <c r="AR68" s="96"/>
      <c r="AS68" s="96"/>
      <c r="AT68" s="96"/>
      <c r="AU68" s="96"/>
      <c r="AV68" s="96"/>
      <c r="AW68" s="96"/>
      <c r="AX68" s="96"/>
    </row>
    <row r="69" spans="1:50" x14ac:dyDescent="0.25">
      <c r="A69" s="3">
        <v>24</v>
      </c>
      <c r="C69" s="5">
        <v>0</v>
      </c>
      <c r="E69" s="2"/>
      <c r="O69" s="3">
        <v>24</v>
      </c>
      <c r="P69" s="92"/>
      <c r="Q69" s="91">
        <v>0</v>
      </c>
      <c r="R69" s="92"/>
      <c r="S69" s="92"/>
      <c r="T69" s="2"/>
      <c r="V69" s="103"/>
      <c r="AC69" s="171"/>
      <c r="AM69" s="95"/>
      <c r="AN69" s="96"/>
      <c r="AO69" s="96"/>
      <c r="AP69" s="95"/>
      <c r="AQ69" s="95"/>
      <c r="AR69" s="96"/>
      <c r="AS69" s="96"/>
      <c r="AT69" s="96"/>
      <c r="AU69" s="96"/>
      <c r="AV69" s="96"/>
      <c r="AW69" s="96"/>
      <c r="AX69" s="96"/>
    </row>
    <row r="70" spans="1:50" x14ac:dyDescent="0.25">
      <c r="A70" s="3">
        <v>1</v>
      </c>
      <c r="D70" s="5">
        <v>1</v>
      </c>
      <c r="E70" s="2"/>
      <c r="O70" s="3">
        <v>1</v>
      </c>
      <c r="P70" s="92"/>
      <c r="Q70" s="92"/>
      <c r="R70" s="91">
        <v>1</v>
      </c>
      <c r="S70" s="92"/>
      <c r="T70" s="6"/>
      <c r="V70" s="103"/>
      <c r="AC70" s="171"/>
      <c r="AM70" s="95"/>
      <c r="AN70" s="96"/>
      <c r="AO70" s="96"/>
      <c r="AP70" s="95"/>
      <c r="AQ70" s="95"/>
      <c r="AR70" s="96"/>
      <c r="AS70" s="96"/>
      <c r="AT70" s="96"/>
      <c r="AU70" s="96"/>
      <c r="AV70" s="96"/>
      <c r="AW70" s="96"/>
      <c r="AX70" s="96"/>
    </row>
    <row r="71" spans="1:50" x14ac:dyDescent="0.25">
      <c r="A71" s="3">
        <v>1</v>
      </c>
      <c r="D71" s="5">
        <v>1</v>
      </c>
      <c r="E71" s="2"/>
      <c r="O71" s="3">
        <v>1</v>
      </c>
      <c r="P71" s="92"/>
      <c r="Q71" s="92"/>
      <c r="R71" s="91">
        <v>1</v>
      </c>
      <c r="S71" s="92"/>
      <c r="T71" s="6"/>
      <c r="V71" s="103"/>
      <c r="AC71" s="171"/>
      <c r="AM71" s="95"/>
      <c r="AN71" s="96"/>
      <c r="AO71" s="96"/>
      <c r="AP71" s="95"/>
      <c r="AQ71" s="95"/>
      <c r="AR71" s="96"/>
      <c r="AS71" s="96"/>
      <c r="AT71" s="96"/>
      <c r="AU71" s="96"/>
      <c r="AV71" s="96"/>
      <c r="AW71" s="96"/>
      <c r="AX71" s="96"/>
    </row>
    <row r="72" spans="1:50" x14ac:dyDescent="0.25">
      <c r="A72" s="3">
        <v>2</v>
      </c>
      <c r="D72" s="5">
        <v>1</v>
      </c>
      <c r="E72" s="2"/>
      <c r="O72" s="3">
        <v>1</v>
      </c>
      <c r="P72" s="92"/>
      <c r="Q72" s="92"/>
      <c r="R72" s="91">
        <v>1</v>
      </c>
      <c r="S72" s="92"/>
      <c r="T72" s="6"/>
      <c r="V72" s="103"/>
      <c r="AC72" s="171"/>
      <c r="AM72" s="95"/>
      <c r="AN72" s="96"/>
      <c r="AO72" s="96"/>
      <c r="AP72" s="95"/>
      <c r="AQ72" s="95"/>
      <c r="AR72" s="96"/>
      <c r="AS72" s="96"/>
      <c r="AT72" s="96"/>
      <c r="AU72" s="96"/>
      <c r="AV72" s="96"/>
      <c r="AW72" s="96"/>
      <c r="AX72" s="96"/>
    </row>
    <row r="73" spans="1:50" x14ac:dyDescent="0.25">
      <c r="A73" s="3">
        <v>2</v>
      </c>
      <c r="D73" s="5">
        <v>1</v>
      </c>
      <c r="E73" s="2"/>
      <c r="O73" s="3">
        <v>1</v>
      </c>
      <c r="P73" s="92"/>
      <c r="Q73" s="92"/>
      <c r="R73" s="91">
        <v>1</v>
      </c>
      <c r="S73" s="92"/>
      <c r="T73" s="6"/>
      <c r="V73" s="103"/>
      <c r="AC73" s="172"/>
      <c r="AM73" s="95"/>
      <c r="AN73" s="96"/>
      <c r="AO73" s="96"/>
      <c r="AP73" s="95"/>
      <c r="AQ73" s="95"/>
      <c r="AR73" s="96"/>
      <c r="AS73" s="96"/>
      <c r="AT73" s="96"/>
      <c r="AU73" s="96"/>
      <c r="AV73" s="96"/>
      <c r="AW73" s="96"/>
      <c r="AX73" s="96"/>
    </row>
    <row r="74" spans="1:50" x14ac:dyDescent="0.25">
      <c r="A74" s="3">
        <v>5</v>
      </c>
      <c r="D74" s="5">
        <v>1</v>
      </c>
      <c r="E74" s="2"/>
      <c r="O74" s="3">
        <v>1</v>
      </c>
      <c r="P74" s="92"/>
      <c r="Q74" s="92"/>
      <c r="R74" s="91">
        <v>1</v>
      </c>
      <c r="S74" s="92"/>
      <c r="T74" s="6"/>
      <c r="V74" s="103"/>
      <c r="AC74" s="171"/>
      <c r="AM74" s="95"/>
      <c r="AN74" s="96"/>
      <c r="AO74" s="96"/>
      <c r="AP74" s="95"/>
      <c r="AQ74" s="95"/>
      <c r="AR74" s="96"/>
      <c r="AS74" s="96"/>
      <c r="AT74" s="96"/>
      <c r="AU74" s="96"/>
      <c r="AV74" s="96"/>
      <c r="AW74" s="96"/>
      <c r="AX74" s="96"/>
    </row>
    <row r="75" spans="1:50" x14ac:dyDescent="0.25">
      <c r="A75" s="3">
        <v>5</v>
      </c>
      <c r="D75" s="5">
        <v>1</v>
      </c>
      <c r="E75" s="2"/>
      <c r="O75" s="3">
        <v>2</v>
      </c>
      <c r="P75" s="92"/>
      <c r="Q75" s="92"/>
      <c r="R75" s="91">
        <v>1</v>
      </c>
      <c r="S75" s="92"/>
      <c r="T75" s="6"/>
      <c r="V75" s="172"/>
      <c r="AC75" s="171"/>
      <c r="AM75" s="95"/>
      <c r="AN75" s="96"/>
      <c r="AO75" s="96"/>
      <c r="AP75" s="95"/>
      <c r="AQ75" s="95"/>
      <c r="AR75" s="96"/>
      <c r="AS75" s="96"/>
      <c r="AT75" s="96"/>
      <c r="AU75" s="96"/>
      <c r="AV75" s="96"/>
      <c r="AW75" s="96"/>
      <c r="AX75" s="96"/>
    </row>
    <row r="76" spans="1:50" x14ac:dyDescent="0.25">
      <c r="A76" s="3">
        <v>5</v>
      </c>
      <c r="D76" s="5">
        <v>1</v>
      </c>
      <c r="E76" s="2"/>
      <c r="O76" s="3">
        <v>2</v>
      </c>
      <c r="P76" s="92"/>
      <c r="Q76" s="92"/>
      <c r="R76" s="91">
        <v>1</v>
      </c>
      <c r="S76" s="92"/>
      <c r="T76" s="6"/>
      <c r="V76" s="103"/>
      <c r="AC76" s="171"/>
      <c r="AM76" s="95"/>
      <c r="AN76" s="96"/>
      <c r="AO76" s="96"/>
      <c r="AP76" s="95"/>
      <c r="AQ76" s="95"/>
      <c r="AR76" s="96"/>
      <c r="AS76" s="96"/>
      <c r="AT76" s="96"/>
      <c r="AU76" s="96"/>
      <c r="AV76" s="96"/>
      <c r="AW76" s="96"/>
      <c r="AX76" s="96"/>
    </row>
    <row r="77" spans="1:50" x14ac:dyDescent="0.25">
      <c r="A77" s="3">
        <v>5</v>
      </c>
      <c r="D77" s="5">
        <v>1</v>
      </c>
      <c r="E77" s="2"/>
      <c r="O77" s="3">
        <v>4</v>
      </c>
      <c r="P77" s="92"/>
      <c r="Q77" s="92"/>
      <c r="R77" s="91">
        <v>1</v>
      </c>
      <c r="S77" s="92"/>
      <c r="T77" s="6"/>
      <c r="V77" s="103"/>
      <c r="AC77" s="171"/>
      <c r="AM77" s="95"/>
      <c r="AN77" s="96"/>
      <c r="AO77" s="96"/>
      <c r="AP77" s="95"/>
      <c r="AQ77" s="95"/>
      <c r="AR77" s="96"/>
      <c r="AS77" s="96"/>
      <c r="AT77" s="96"/>
      <c r="AU77" s="96"/>
      <c r="AV77" s="96"/>
      <c r="AW77" s="96"/>
      <c r="AX77" s="96"/>
    </row>
    <row r="78" spans="1:50" x14ac:dyDescent="0.25">
      <c r="A78" s="3">
        <v>6</v>
      </c>
      <c r="D78" s="5">
        <v>1</v>
      </c>
      <c r="E78" s="2"/>
      <c r="O78" s="3">
        <v>4</v>
      </c>
      <c r="P78" s="92"/>
      <c r="Q78" s="92"/>
      <c r="R78" s="91">
        <v>1</v>
      </c>
      <c r="S78" s="92"/>
      <c r="T78" s="6"/>
      <c r="V78" s="103"/>
      <c r="AC78" s="171"/>
      <c r="AM78" s="95"/>
      <c r="AN78" s="96"/>
      <c r="AO78" s="96"/>
      <c r="AP78" s="95"/>
      <c r="AQ78" s="95"/>
      <c r="AR78" s="96"/>
      <c r="AS78" s="96"/>
      <c r="AT78" s="96"/>
      <c r="AU78" s="96"/>
      <c r="AV78" s="96"/>
      <c r="AW78" s="96"/>
      <c r="AX78" s="96"/>
    </row>
    <row r="79" spans="1:50" x14ac:dyDescent="0.25">
      <c r="A79" s="3">
        <v>7</v>
      </c>
      <c r="D79" s="5">
        <v>1</v>
      </c>
      <c r="E79" s="6"/>
      <c r="O79" s="3">
        <v>4</v>
      </c>
      <c r="P79" s="92"/>
      <c r="Q79" s="92"/>
      <c r="R79" s="91">
        <v>1</v>
      </c>
      <c r="S79" s="92"/>
      <c r="T79" s="6"/>
      <c r="V79" s="103"/>
      <c r="AC79" s="101"/>
      <c r="AM79" s="95"/>
      <c r="AN79" s="96"/>
      <c r="AO79" s="96"/>
      <c r="AP79" s="95"/>
      <c r="AQ79" s="96"/>
      <c r="AR79" s="96"/>
      <c r="AS79" s="96"/>
      <c r="AT79" s="96"/>
      <c r="AU79" s="96"/>
      <c r="AV79" s="96"/>
      <c r="AW79" s="96"/>
      <c r="AX79" s="96"/>
    </row>
    <row r="80" spans="1:50" x14ac:dyDescent="0.25">
      <c r="A80" s="3">
        <v>7</v>
      </c>
      <c r="D80" s="5">
        <v>1</v>
      </c>
      <c r="E80" s="6"/>
      <c r="O80" s="3">
        <v>4</v>
      </c>
      <c r="P80" s="92"/>
      <c r="Q80" s="92"/>
      <c r="R80" s="91">
        <v>1</v>
      </c>
      <c r="S80" s="92"/>
      <c r="T80" s="6"/>
      <c r="V80" s="103"/>
      <c r="AM80" s="95"/>
      <c r="AN80" s="96"/>
      <c r="AO80" s="96"/>
      <c r="AP80" s="95"/>
      <c r="AQ80" s="96"/>
      <c r="AR80" s="96"/>
      <c r="AS80" s="96"/>
      <c r="AT80" s="96"/>
      <c r="AU80" s="96"/>
      <c r="AV80" s="96"/>
      <c r="AW80" s="96"/>
      <c r="AX80" s="96"/>
    </row>
    <row r="81" spans="1:50" x14ac:dyDescent="0.25">
      <c r="A81" s="3">
        <v>8</v>
      </c>
      <c r="D81" s="5">
        <v>1</v>
      </c>
      <c r="E81" s="6"/>
      <c r="O81" s="3">
        <v>5</v>
      </c>
      <c r="P81" s="92"/>
      <c r="Q81" s="92"/>
      <c r="R81" s="91">
        <v>1</v>
      </c>
      <c r="S81" s="92"/>
      <c r="T81" s="2"/>
      <c r="V81" s="102"/>
      <c r="AM81" s="95"/>
      <c r="AN81" s="96"/>
      <c r="AO81" s="96"/>
      <c r="AP81" s="95"/>
      <c r="AQ81" s="96"/>
      <c r="AR81" s="96"/>
      <c r="AS81" s="96"/>
      <c r="AT81" s="96"/>
      <c r="AU81" s="96"/>
      <c r="AV81" s="96"/>
      <c r="AW81" s="96"/>
      <c r="AX81" s="96"/>
    </row>
    <row r="82" spans="1:50" x14ac:dyDescent="0.25">
      <c r="A82" s="3">
        <v>24</v>
      </c>
      <c r="D82" s="5">
        <v>1</v>
      </c>
      <c r="E82" s="6"/>
      <c r="O82" s="3">
        <v>6</v>
      </c>
      <c r="P82" s="92"/>
      <c r="Q82" s="92"/>
      <c r="R82" s="91">
        <v>1</v>
      </c>
      <c r="S82" s="92"/>
      <c r="T82" s="2"/>
      <c r="AM82" s="95"/>
      <c r="AN82" s="96"/>
      <c r="AO82" s="96"/>
      <c r="AP82" s="95"/>
      <c r="AQ82" s="96"/>
      <c r="AR82" s="96"/>
      <c r="AS82" s="96"/>
      <c r="AT82" s="96"/>
      <c r="AU82" s="96"/>
      <c r="AV82" s="96"/>
      <c r="AW82" s="96"/>
      <c r="AX82" s="96"/>
    </row>
    <row r="83" spans="1:50" x14ac:dyDescent="0.25">
      <c r="A83" s="3">
        <v>24</v>
      </c>
      <c r="D83" s="5">
        <v>1</v>
      </c>
      <c r="E83" s="6"/>
      <c r="O83" s="3">
        <v>7</v>
      </c>
      <c r="P83" s="92"/>
      <c r="Q83" s="92"/>
      <c r="R83" s="91">
        <v>1</v>
      </c>
      <c r="S83" s="92"/>
      <c r="T83" s="2"/>
      <c r="AM83" s="95"/>
      <c r="AN83" s="96"/>
      <c r="AO83" s="96"/>
      <c r="AP83" s="95"/>
      <c r="AQ83" s="96"/>
      <c r="AR83" s="96"/>
      <c r="AS83" s="96"/>
      <c r="AT83" s="96"/>
      <c r="AU83" s="96"/>
      <c r="AV83" s="96"/>
      <c r="AW83" s="96"/>
      <c r="AX83" s="96"/>
    </row>
    <row r="84" spans="1:50" x14ac:dyDescent="0.25">
      <c r="A84" s="3">
        <v>24</v>
      </c>
      <c r="D84" s="5">
        <v>1</v>
      </c>
      <c r="E84" s="6"/>
      <c r="O84" s="3">
        <v>24</v>
      </c>
      <c r="P84" s="92"/>
      <c r="Q84" s="92"/>
      <c r="R84" s="91">
        <v>1</v>
      </c>
      <c r="S84" s="92"/>
      <c r="T84" s="2"/>
      <c r="AM84" s="95"/>
      <c r="AN84" s="96"/>
      <c r="AO84" s="96"/>
      <c r="AP84" s="95"/>
      <c r="AQ84" s="96"/>
      <c r="AR84" s="96"/>
      <c r="AS84" s="96"/>
      <c r="AT84" s="96"/>
      <c r="AU84" s="96"/>
      <c r="AV84" s="96"/>
      <c r="AW84" s="96"/>
      <c r="AX84" s="96"/>
    </row>
    <row r="85" spans="1:50" x14ac:dyDescent="0.25">
      <c r="A85" s="3">
        <v>24</v>
      </c>
      <c r="D85" s="5">
        <v>1</v>
      </c>
      <c r="E85" s="6"/>
      <c r="O85" s="3">
        <v>24</v>
      </c>
      <c r="P85" s="92"/>
      <c r="Q85" s="92"/>
      <c r="R85" s="91">
        <v>1</v>
      </c>
      <c r="S85" s="92"/>
      <c r="T85" s="2"/>
      <c r="AM85" s="95"/>
      <c r="AN85" s="96"/>
      <c r="AO85" s="96"/>
      <c r="AP85" s="95"/>
      <c r="AQ85" s="96"/>
      <c r="AR85" s="96"/>
      <c r="AS85" s="96"/>
      <c r="AT85" s="96"/>
      <c r="AU85" s="96"/>
      <c r="AV85" s="96"/>
      <c r="AW85" s="96"/>
      <c r="AX85" s="96"/>
    </row>
    <row r="86" spans="1:50" x14ac:dyDescent="0.25">
      <c r="A86" s="3">
        <v>24</v>
      </c>
      <c r="D86" s="5">
        <v>1</v>
      </c>
      <c r="E86" s="6"/>
      <c r="O86" s="3">
        <v>24</v>
      </c>
      <c r="P86" s="92"/>
      <c r="Q86" s="92"/>
      <c r="R86" s="91">
        <v>1</v>
      </c>
      <c r="S86" s="92"/>
      <c r="T86" s="2"/>
      <c r="AM86" s="95"/>
      <c r="AN86" s="96"/>
      <c r="AO86" s="96"/>
      <c r="AP86" s="95"/>
      <c r="AQ86" s="96"/>
      <c r="AR86" s="96"/>
      <c r="AS86" s="96"/>
      <c r="AT86" s="96"/>
      <c r="AU86" s="96"/>
      <c r="AV86" s="96"/>
      <c r="AW86" s="96"/>
      <c r="AX86" s="96"/>
    </row>
    <row r="87" spans="1:50" x14ac:dyDescent="0.25">
      <c r="A87" s="3">
        <v>24</v>
      </c>
      <c r="D87" s="5">
        <v>0</v>
      </c>
      <c r="E87" s="6"/>
      <c r="O87" s="3">
        <v>24</v>
      </c>
      <c r="P87" s="92"/>
      <c r="Q87" s="92"/>
      <c r="R87" s="91">
        <v>1</v>
      </c>
      <c r="S87" s="92"/>
      <c r="T87" s="2"/>
      <c r="AM87" s="95"/>
      <c r="AN87" s="96"/>
      <c r="AO87" s="96"/>
      <c r="AP87" s="95"/>
      <c r="AQ87" s="96"/>
      <c r="AR87" s="96"/>
      <c r="AS87" s="96"/>
      <c r="AT87" s="96"/>
      <c r="AU87" s="96"/>
      <c r="AV87" s="96"/>
      <c r="AW87" s="96"/>
      <c r="AX87" s="96"/>
    </row>
    <row r="88" spans="1:50" x14ac:dyDescent="0.25">
      <c r="A88" s="3">
        <v>24</v>
      </c>
      <c r="D88" s="5">
        <v>0</v>
      </c>
      <c r="E88" s="6"/>
      <c r="O88" s="3">
        <v>24</v>
      </c>
      <c r="P88" s="92"/>
      <c r="Q88" s="92"/>
      <c r="R88" s="91">
        <v>1</v>
      </c>
      <c r="S88" s="92"/>
      <c r="T88" s="2"/>
      <c r="AM88" s="95"/>
      <c r="AN88" s="96"/>
      <c r="AO88" s="96"/>
      <c r="AP88" s="95"/>
      <c r="AQ88" s="96"/>
      <c r="AR88" s="96"/>
      <c r="AS88" s="96"/>
      <c r="AT88" s="96"/>
      <c r="AU88" s="96"/>
      <c r="AV88" s="96"/>
      <c r="AW88" s="96"/>
      <c r="AX88" s="96"/>
    </row>
    <row r="89" spans="1:50" x14ac:dyDescent="0.25">
      <c r="A89" s="3">
        <v>24</v>
      </c>
      <c r="D89" s="5">
        <v>0</v>
      </c>
      <c r="E89" s="6"/>
      <c r="O89" s="3">
        <v>24</v>
      </c>
      <c r="P89" s="92"/>
      <c r="Q89" s="92"/>
      <c r="R89" s="91">
        <v>1</v>
      </c>
      <c r="S89" s="92"/>
      <c r="T89" s="2"/>
      <c r="AM89" s="95"/>
      <c r="AN89" s="96"/>
      <c r="AO89" s="96"/>
      <c r="AP89" s="95"/>
      <c r="AQ89" s="96"/>
      <c r="AR89" s="96"/>
      <c r="AS89" s="96"/>
      <c r="AT89" s="96"/>
      <c r="AU89" s="96"/>
      <c r="AV89" s="96"/>
      <c r="AW89" s="96"/>
      <c r="AX89" s="96"/>
    </row>
    <row r="90" spans="1:50" x14ac:dyDescent="0.25">
      <c r="A90" s="3">
        <v>1</v>
      </c>
      <c r="E90" s="6">
        <v>1</v>
      </c>
      <c r="O90" s="3">
        <v>1</v>
      </c>
      <c r="P90" s="92"/>
      <c r="Q90" s="92"/>
      <c r="R90" s="92"/>
      <c r="S90" s="91">
        <v>1</v>
      </c>
      <c r="T90" s="2"/>
      <c r="AM90" s="95"/>
      <c r="AN90" s="96"/>
      <c r="AO90" s="96"/>
      <c r="AP90" s="95"/>
      <c r="AQ90" s="96"/>
      <c r="AR90" s="96"/>
      <c r="AS90" s="96"/>
      <c r="AT90" s="96"/>
      <c r="AU90" s="96"/>
      <c r="AV90" s="96"/>
      <c r="AW90" s="96"/>
      <c r="AX90" s="96"/>
    </row>
    <row r="91" spans="1:50" x14ac:dyDescent="0.25">
      <c r="A91" s="3">
        <v>1</v>
      </c>
      <c r="E91" s="6">
        <v>1</v>
      </c>
      <c r="O91" s="3">
        <v>1</v>
      </c>
      <c r="P91" s="92"/>
      <c r="Q91" s="92"/>
      <c r="R91" s="92"/>
      <c r="S91" s="91">
        <v>1</v>
      </c>
      <c r="T91" s="2"/>
      <c r="AM91" s="95"/>
      <c r="AN91" s="96"/>
      <c r="AO91" s="96"/>
      <c r="AP91" s="95"/>
      <c r="AQ91" s="96"/>
      <c r="AR91" s="96"/>
      <c r="AS91" s="96"/>
      <c r="AT91" s="96"/>
      <c r="AU91" s="96"/>
      <c r="AV91" s="96"/>
      <c r="AW91" s="96"/>
      <c r="AX91" s="96"/>
    </row>
    <row r="92" spans="1:50" x14ac:dyDescent="0.25">
      <c r="A92" s="3">
        <v>1</v>
      </c>
      <c r="E92" s="6">
        <v>1</v>
      </c>
      <c r="O92" s="3">
        <v>1</v>
      </c>
      <c r="P92" s="92"/>
      <c r="Q92" s="92"/>
      <c r="R92" s="92"/>
      <c r="S92" s="91">
        <v>1</v>
      </c>
      <c r="T92" s="2"/>
      <c r="AM92" s="95"/>
      <c r="AN92" s="96"/>
      <c r="AO92" s="96"/>
      <c r="AP92" s="95"/>
      <c r="AQ92" s="96"/>
      <c r="AR92" s="96"/>
      <c r="AS92" s="96"/>
      <c r="AT92" s="96"/>
      <c r="AU92" s="96"/>
      <c r="AV92" s="96"/>
      <c r="AW92" s="96"/>
      <c r="AX92" s="96"/>
    </row>
    <row r="93" spans="1:50" x14ac:dyDescent="0.25">
      <c r="A93" s="3">
        <v>1</v>
      </c>
      <c r="E93" s="6">
        <v>1</v>
      </c>
      <c r="O93" s="3">
        <v>2</v>
      </c>
      <c r="P93" s="92"/>
      <c r="Q93" s="92"/>
      <c r="R93" s="92"/>
      <c r="S93" s="91">
        <v>1</v>
      </c>
      <c r="T93" s="2"/>
      <c r="AM93" s="95"/>
      <c r="AN93" s="96"/>
      <c r="AO93" s="96"/>
      <c r="AP93" s="95"/>
      <c r="AQ93" s="96"/>
      <c r="AR93" s="96"/>
      <c r="AS93" s="96"/>
      <c r="AT93" s="96"/>
      <c r="AU93" s="96"/>
      <c r="AV93" s="96"/>
      <c r="AW93" s="96"/>
      <c r="AX93" s="96"/>
    </row>
    <row r="94" spans="1:50" x14ac:dyDescent="0.25">
      <c r="A94" s="3">
        <v>3</v>
      </c>
      <c r="E94" s="6">
        <v>1</v>
      </c>
      <c r="O94" s="3">
        <v>2</v>
      </c>
      <c r="P94" s="92"/>
      <c r="Q94" s="92"/>
      <c r="R94" s="92"/>
      <c r="S94" s="91">
        <v>1</v>
      </c>
      <c r="T94" s="2"/>
      <c r="AM94" s="95"/>
      <c r="AN94" s="96"/>
      <c r="AO94" s="96"/>
      <c r="AP94" s="95"/>
      <c r="AQ94" s="96"/>
      <c r="AR94" s="96"/>
      <c r="AS94" s="96"/>
      <c r="AT94" s="96"/>
      <c r="AU94" s="96"/>
      <c r="AV94" s="96"/>
      <c r="AW94" s="96"/>
      <c r="AX94" s="96"/>
    </row>
    <row r="95" spans="1:50" x14ac:dyDescent="0.25">
      <c r="A95" s="3">
        <v>3</v>
      </c>
      <c r="E95" s="6">
        <v>1</v>
      </c>
      <c r="O95" s="3">
        <v>4</v>
      </c>
      <c r="P95" s="92"/>
      <c r="Q95" s="92"/>
      <c r="R95" s="92"/>
      <c r="S95" s="91">
        <v>1</v>
      </c>
      <c r="T95" s="2"/>
      <c r="AM95" s="95"/>
      <c r="AN95" s="96"/>
      <c r="AO95" s="96"/>
      <c r="AP95" s="95"/>
      <c r="AQ95" s="96"/>
      <c r="AR95" s="96"/>
      <c r="AS95" s="96"/>
      <c r="AT95" s="96"/>
      <c r="AU95" s="96"/>
      <c r="AV95" s="96"/>
      <c r="AW95" s="96"/>
      <c r="AX95" s="96"/>
    </row>
    <row r="96" spans="1:50" x14ac:dyDescent="0.25">
      <c r="A96" s="3">
        <v>5</v>
      </c>
      <c r="E96" s="6">
        <v>1</v>
      </c>
      <c r="O96" s="3">
        <v>4</v>
      </c>
      <c r="P96" s="92"/>
      <c r="Q96" s="92"/>
      <c r="R96" s="92"/>
      <c r="S96" s="91">
        <v>1</v>
      </c>
      <c r="T96" s="2"/>
      <c r="AM96" s="95"/>
      <c r="AN96" s="96"/>
      <c r="AO96" s="96"/>
      <c r="AP96" s="95"/>
      <c r="AQ96" s="96"/>
      <c r="AR96" s="96"/>
      <c r="AS96" s="96"/>
      <c r="AT96" s="96"/>
      <c r="AU96" s="96"/>
      <c r="AV96" s="96"/>
      <c r="AW96" s="96"/>
      <c r="AX96" s="96"/>
    </row>
    <row r="97" spans="1:50" x14ac:dyDescent="0.25">
      <c r="A97" s="3">
        <v>5</v>
      </c>
      <c r="E97" s="6">
        <v>1</v>
      </c>
      <c r="O97" s="3">
        <v>4</v>
      </c>
      <c r="P97" s="92"/>
      <c r="Q97" s="92"/>
      <c r="R97" s="92"/>
      <c r="S97" s="91">
        <v>1</v>
      </c>
      <c r="T97" s="2"/>
      <c r="AM97" s="95"/>
      <c r="AN97" s="96"/>
      <c r="AO97" s="96"/>
      <c r="AP97" s="95"/>
      <c r="AQ97" s="96"/>
      <c r="AR97" s="96"/>
      <c r="AS97" s="96"/>
      <c r="AT97" s="96"/>
      <c r="AU97" s="96"/>
      <c r="AV97" s="96"/>
      <c r="AW97" s="96"/>
      <c r="AX97" s="96"/>
    </row>
    <row r="98" spans="1:50" x14ac:dyDescent="0.25">
      <c r="A98" s="3">
        <v>7</v>
      </c>
      <c r="E98" s="6">
        <v>1</v>
      </c>
      <c r="O98" s="3">
        <v>4</v>
      </c>
      <c r="P98" s="92"/>
      <c r="Q98" s="92"/>
      <c r="R98" s="92"/>
      <c r="S98" s="91">
        <v>1</v>
      </c>
      <c r="T98" s="2"/>
      <c r="AM98" s="95"/>
      <c r="AN98" s="96"/>
      <c r="AO98" s="96"/>
      <c r="AP98" s="95"/>
      <c r="AQ98" s="96"/>
      <c r="AR98" s="96"/>
      <c r="AS98" s="96"/>
      <c r="AT98" s="96"/>
      <c r="AU98" s="96"/>
      <c r="AV98" s="96"/>
      <c r="AW98" s="96"/>
      <c r="AX98" s="96"/>
    </row>
    <row r="99" spans="1:50" x14ac:dyDescent="0.25">
      <c r="A99" s="3">
        <v>8</v>
      </c>
      <c r="E99" s="6">
        <v>1</v>
      </c>
      <c r="O99" s="3">
        <v>8</v>
      </c>
      <c r="P99" s="92"/>
      <c r="Q99" s="92"/>
      <c r="R99" s="92"/>
      <c r="S99" s="91">
        <v>1</v>
      </c>
      <c r="T99" s="2"/>
      <c r="AM99" s="95"/>
      <c r="AN99" s="96"/>
      <c r="AO99" s="96"/>
      <c r="AP99" s="95"/>
      <c r="AQ99" s="96"/>
      <c r="AR99" s="96"/>
      <c r="AS99" s="96"/>
      <c r="AT99" s="96"/>
      <c r="AU99" s="96"/>
      <c r="AV99" s="96"/>
      <c r="AW99" s="96"/>
      <c r="AX99" s="96"/>
    </row>
    <row r="100" spans="1:50" x14ac:dyDescent="0.25">
      <c r="A100" s="3">
        <v>24</v>
      </c>
      <c r="E100" s="6">
        <v>1</v>
      </c>
      <c r="O100" s="3">
        <v>24</v>
      </c>
      <c r="P100" s="92"/>
      <c r="Q100" s="92"/>
      <c r="R100" s="92"/>
      <c r="S100" s="91">
        <v>1</v>
      </c>
      <c r="T100" s="2"/>
      <c r="AM100" s="95"/>
      <c r="AN100" s="96"/>
      <c r="AO100" s="96"/>
      <c r="AP100" s="95"/>
      <c r="AQ100" s="96"/>
      <c r="AR100" s="96"/>
      <c r="AS100" s="96"/>
      <c r="AT100" s="96"/>
      <c r="AU100" s="96"/>
      <c r="AV100" s="96"/>
      <c r="AW100" s="96"/>
      <c r="AX100" s="96"/>
    </row>
    <row r="101" spans="1:50" x14ac:dyDescent="0.25">
      <c r="A101" s="3">
        <v>24</v>
      </c>
      <c r="E101" s="6">
        <v>1</v>
      </c>
      <c r="O101" s="3">
        <v>24</v>
      </c>
      <c r="P101" s="92"/>
      <c r="Q101" s="92"/>
      <c r="R101" s="92"/>
      <c r="S101" s="91">
        <v>1</v>
      </c>
      <c r="T101" s="2"/>
      <c r="AM101" s="95"/>
      <c r="AN101" s="96"/>
      <c r="AO101" s="96"/>
      <c r="AP101" s="95"/>
      <c r="AQ101" s="96"/>
      <c r="AR101" s="96"/>
      <c r="AS101" s="96"/>
      <c r="AT101" s="96"/>
      <c r="AU101" s="96"/>
      <c r="AV101" s="96"/>
      <c r="AW101" s="96"/>
      <c r="AX101" s="96"/>
    </row>
    <row r="102" spans="1:50" x14ac:dyDescent="0.25">
      <c r="A102" s="3">
        <v>24</v>
      </c>
      <c r="E102" s="6">
        <v>1</v>
      </c>
      <c r="O102" s="3">
        <v>24</v>
      </c>
      <c r="P102" s="92"/>
      <c r="Q102" s="92"/>
      <c r="R102" s="92"/>
      <c r="S102" s="91">
        <v>1</v>
      </c>
      <c r="T102" s="2"/>
      <c r="AM102" s="95"/>
      <c r="AN102" s="96"/>
      <c r="AO102" s="96"/>
      <c r="AP102" s="95"/>
      <c r="AQ102" s="96"/>
      <c r="AR102" s="96"/>
      <c r="AS102" s="96"/>
      <c r="AT102" s="96"/>
      <c r="AU102" s="96"/>
      <c r="AV102" s="96"/>
      <c r="AW102" s="96"/>
      <c r="AX102" s="96"/>
    </row>
    <row r="103" spans="1:50" x14ac:dyDescent="0.25">
      <c r="A103" s="3">
        <v>24</v>
      </c>
      <c r="E103" s="6">
        <v>1</v>
      </c>
      <c r="O103" s="3">
        <v>24</v>
      </c>
      <c r="P103" s="92"/>
      <c r="Q103" s="92"/>
      <c r="R103" s="92"/>
      <c r="S103" s="91">
        <v>1</v>
      </c>
      <c r="T103" s="2"/>
      <c r="AM103" s="95"/>
      <c r="AN103" s="96"/>
      <c r="AO103" s="96"/>
      <c r="AP103" s="95"/>
      <c r="AQ103" s="96"/>
      <c r="AR103" s="96"/>
      <c r="AS103" s="96"/>
      <c r="AT103" s="96"/>
      <c r="AU103" s="96"/>
      <c r="AV103" s="96"/>
      <c r="AW103" s="96"/>
      <c r="AX103" s="96"/>
    </row>
    <row r="104" spans="1:50" x14ac:dyDescent="0.25">
      <c r="A104" s="3">
        <v>24</v>
      </c>
      <c r="E104" s="6">
        <v>1</v>
      </c>
      <c r="O104" s="3">
        <v>24</v>
      </c>
      <c r="P104" s="92"/>
      <c r="Q104" s="92"/>
      <c r="R104" s="92"/>
      <c r="S104" s="91">
        <v>1</v>
      </c>
      <c r="T104" s="2"/>
      <c r="AM104" s="95"/>
      <c r="AN104" s="96"/>
      <c r="AO104" s="96"/>
      <c r="AP104" s="95"/>
      <c r="AQ104" s="96"/>
      <c r="AR104" s="96"/>
      <c r="AS104" s="96"/>
      <c r="AT104" s="96"/>
      <c r="AU104" s="96"/>
      <c r="AV104" s="96"/>
      <c r="AW104" s="96"/>
      <c r="AX104" s="96"/>
    </row>
    <row r="105" spans="1:50" x14ac:dyDescent="0.25">
      <c r="A105" s="3">
        <v>24</v>
      </c>
      <c r="E105" s="6">
        <v>0</v>
      </c>
      <c r="O105" s="3">
        <v>24</v>
      </c>
      <c r="P105" s="92"/>
      <c r="Q105" s="92"/>
      <c r="R105" s="92"/>
      <c r="S105" s="91">
        <v>1</v>
      </c>
      <c r="T105" s="2"/>
      <c r="AM105" s="95"/>
      <c r="AN105" s="96"/>
      <c r="AO105" s="96"/>
      <c r="AP105" s="95"/>
      <c r="AQ105" s="96"/>
      <c r="AR105" s="96"/>
      <c r="AS105" s="96"/>
      <c r="AT105" s="96"/>
      <c r="AU105" s="96"/>
      <c r="AV105" s="96"/>
      <c r="AW105" s="96"/>
      <c r="AX105" s="96"/>
    </row>
    <row r="106" spans="1:50" x14ac:dyDescent="0.25">
      <c r="A106" s="3">
        <v>24</v>
      </c>
      <c r="E106" s="6">
        <v>0</v>
      </c>
      <c r="O106" s="3">
        <v>24</v>
      </c>
      <c r="P106" s="92"/>
      <c r="Q106" s="92"/>
      <c r="R106" s="92"/>
      <c r="S106" s="91">
        <v>1</v>
      </c>
      <c r="T106" s="2"/>
      <c r="AM106" s="95"/>
      <c r="AN106" s="96"/>
      <c r="AO106" s="96"/>
      <c r="AP106" s="95"/>
      <c r="AQ106" s="96"/>
      <c r="AR106" s="96"/>
      <c r="AS106" s="96"/>
      <c r="AT106" s="96"/>
      <c r="AU106" s="96"/>
      <c r="AV106" s="96"/>
      <c r="AW106" s="96"/>
      <c r="AX106" s="96"/>
    </row>
    <row r="107" spans="1:50" x14ac:dyDescent="0.25">
      <c r="A107" s="3">
        <v>24</v>
      </c>
      <c r="E107" s="6">
        <v>0</v>
      </c>
      <c r="O107" s="3">
        <v>24</v>
      </c>
      <c r="P107" s="92"/>
      <c r="Q107" s="92"/>
      <c r="R107" s="92"/>
      <c r="S107" s="91">
        <v>1</v>
      </c>
      <c r="T107" s="2"/>
      <c r="AM107" s="95"/>
      <c r="AN107" s="96"/>
      <c r="AO107" s="96"/>
      <c r="AP107" s="95"/>
      <c r="AQ107" s="96"/>
      <c r="AR107" s="96"/>
      <c r="AS107" s="96"/>
      <c r="AT107" s="96"/>
      <c r="AU107" s="96"/>
      <c r="AV107" s="96"/>
      <c r="AW107" s="96"/>
      <c r="AX107" s="96"/>
    </row>
    <row r="108" spans="1:50" x14ac:dyDescent="0.25">
      <c r="A108" s="3">
        <v>24</v>
      </c>
      <c r="E108" s="6">
        <v>0</v>
      </c>
      <c r="O108" s="3">
        <v>24</v>
      </c>
      <c r="P108" s="92"/>
      <c r="Q108" s="92"/>
      <c r="R108" s="92"/>
      <c r="S108" s="91">
        <v>0</v>
      </c>
      <c r="T108" s="2"/>
      <c r="AM108" s="95"/>
      <c r="AN108" s="96"/>
      <c r="AO108" s="96"/>
      <c r="AP108" s="96"/>
      <c r="AQ108" s="95"/>
      <c r="AR108" s="96"/>
      <c r="AS108" s="96"/>
      <c r="AT108" s="96"/>
      <c r="AU108" s="96"/>
      <c r="AV108" s="96"/>
      <c r="AW108" s="96"/>
      <c r="AX108" s="96"/>
    </row>
    <row r="109" spans="1:50" x14ac:dyDescent="0.25">
      <c r="A109" s="17">
        <v>24</v>
      </c>
      <c r="B109" s="15"/>
      <c r="C109" s="15"/>
      <c r="D109" s="15"/>
      <c r="E109" s="19">
        <v>0</v>
      </c>
      <c r="O109" s="3">
        <v>24</v>
      </c>
      <c r="P109" s="92"/>
      <c r="Q109" s="92"/>
      <c r="R109" s="92"/>
      <c r="S109" s="91">
        <v>0</v>
      </c>
      <c r="T109" s="2"/>
      <c r="AM109" s="95"/>
      <c r="AN109" s="96"/>
      <c r="AO109" s="96"/>
      <c r="AP109" s="96"/>
      <c r="AQ109" s="95"/>
      <c r="AR109" s="96"/>
      <c r="AS109" s="96"/>
      <c r="AT109" s="96"/>
      <c r="AU109" s="96"/>
      <c r="AV109" s="96"/>
      <c r="AW109" s="96"/>
      <c r="AX109" s="96"/>
    </row>
    <row r="110" spans="1:50" x14ac:dyDescent="0.25">
      <c r="O110" s="3">
        <v>1</v>
      </c>
      <c r="P110" s="92"/>
      <c r="Q110" s="92"/>
      <c r="R110" s="92"/>
      <c r="S110" s="91">
        <v>1</v>
      </c>
      <c r="T110" s="2"/>
      <c r="AM110" s="95"/>
      <c r="AN110" s="96"/>
      <c r="AO110" s="96"/>
      <c r="AP110" s="96"/>
      <c r="AQ110" s="95"/>
      <c r="AR110" s="96"/>
      <c r="AS110" s="96"/>
      <c r="AT110" s="96"/>
      <c r="AU110" s="96"/>
      <c r="AV110" s="96"/>
      <c r="AW110" s="96"/>
      <c r="AX110" s="96"/>
    </row>
    <row r="111" spans="1:50" x14ac:dyDescent="0.25">
      <c r="O111" s="3">
        <v>1</v>
      </c>
      <c r="P111" s="92"/>
      <c r="Q111" s="92"/>
      <c r="R111" s="92"/>
      <c r="S111" s="91">
        <v>1</v>
      </c>
      <c r="T111" s="2"/>
      <c r="AM111" s="95"/>
      <c r="AN111" s="96"/>
      <c r="AO111" s="96"/>
      <c r="AP111" s="96"/>
      <c r="AQ111" s="95"/>
      <c r="AR111" s="96"/>
      <c r="AS111" s="96"/>
      <c r="AT111" s="96"/>
      <c r="AU111" s="96"/>
      <c r="AV111" s="96"/>
      <c r="AW111" s="96"/>
      <c r="AX111" s="96"/>
    </row>
    <row r="112" spans="1:50" x14ac:dyDescent="0.25">
      <c r="O112" s="3">
        <v>1</v>
      </c>
      <c r="P112" s="92"/>
      <c r="Q112" s="92"/>
      <c r="R112" s="92"/>
      <c r="S112" s="91">
        <v>1</v>
      </c>
      <c r="T112" s="2"/>
      <c r="AM112" s="95"/>
      <c r="AN112" s="96"/>
      <c r="AO112" s="96"/>
      <c r="AP112" s="96"/>
      <c r="AQ112" s="95"/>
      <c r="AR112" s="96"/>
      <c r="AS112" s="96"/>
      <c r="AT112" s="96"/>
      <c r="AU112" s="96"/>
      <c r="AV112" s="96"/>
      <c r="AW112" s="96"/>
      <c r="AX112" s="96"/>
    </row>
    <row r="113" spans="15:50" x14ac:dyDescent="0.25">
      <c r="O113" s="3">
        <v>1</v>
      </c>
      <c r="P113" s="92"/>
      <c r="Q113" s="92"/>
      <c r="R113" s="92"/>
      <c r="S113" s="91">
        <v>1</v>
      </c>
      <c r="T113" s="2"/>
      <c r="AM113" s="95"/>
      <c r="AN113" s="96"/>
      <c r="AO113" s="96"/>
      <c r="AP113" s="96"/>
      <c r="AQ113" s="95"/>
      <c r="AR113" s="96"/>
      <c r="AS113" s="96"/>
      <c r="AT113" s="96"/>
      <c r="AU113" s="96"/>
      <c r="AV113" s="96"/>
      <c r="AW113" s="96"/>
      <c r="AX113" s="96"/>
    </row>
    <row r="114" spans="15:50" x14ac:dyDescent="0.25">
      <c r="O114" s="3">
        <v>3</v>
      </c>
      <c r="P114" s="92"/>
      <c r="Q114" s="92"/>
      <c r="R114" s="92"/>
      <c r="S114" s="91">
        <v>1</v>
      </c>
      <c r="T114" s="2"/>
      <c r="AM114" s="95"/>
      <c r="AN114" s="96"/>
      <c r="AO114" s="96"/>
      <c r="AP114" s="96"/>
      <c r="AQ114" s="95"/>
      <c r="AR114" s="96"/>
      <c r="AS114" s="96"/>
      <c r="AT114" s="96"/>
      <c r="AU114" s="96"/>
      <c r="AV114" s="96"/>
      <c r="AW114" s="96"/>
      <c r="AX114" s="96"/>
    </row>
    <row r="115" spans="15:50" x14ac:dyDescent="0.25">
      <c r="O115" s="3">
        <v>4</v>
      </c>
      <c r="P115" s="92"/>
      <c r="Q115" s="92"/>
      <c r="R115" s="92"/>
      <c r="S115" s="91">
        <v>1</v>
      </c>
      <c r="T115" s="2"/>
      <c r="AM115" s="95"/>
      <c r="AN115" s="96"/>
      <c r="AO115" s="96"/>
      <c r="AP115" s="96"/>
      <c r="AQ115" s="95"/>
      <c r="AR115" s="96"/>
      <c r="AS115" s="96"/>
      <c r="AT115" s="96"/>
      <c r="AU115" s="96"/>
      <c r="AV115" s="96"/>
      <c r="AW115" s="96"/>
      <c r="AX115" s="96"/>
    </row>
    <row r="116" spans="15:50" x14ac:dyDescent="0.25">
      <c r="O116" s="3">
        <v>5</v>
      </c>
      <c r="P116" s="92"/>
      <c r="Q116" s="92"/>
      <c r="R116" s="92"/>
      <c r="S116" s="91">
        <v>1</v>
      </c>
      <c r="T116" s="2"/>
      <c r="AM116" s="95"/>
      <c r="AN116" s="96"/>
      <c r="AO116" s="96"/>
      <c r="AP116" s="96"/>
      <c r="AQ116" s="95"/>
      <c r="AR116" s="96"/>
      <c r="AS116" s="96"/>
      <c r="AT116" s="96"/>
      <c r="AU116" s="96"/>
      <c r="AV116" s="96"/>
      <c r="AW116" s="96"/>
      <c r="AX116" s="96"/>
    </row>
    <row r="117" spans="15:50" x14ac:dyDescent="0.25">
      <c r="O117" s="3">
        <v>6</v>
      </c>
      <c r="P117" s="92"/>
      <c r="Q117" s="92"/>
      <c r="R117" s="92"/>
      <c r="S117" s="91">
        <v>1</v>
      </c>
      <c r="T117" s="2"/>
      <c r="AM117" s="95"/>
      <c r="AN117" s="96"/>
      <c r="AO117" s="96"/>
      <c r="AP117" s="96"/>
      <c r="AQ117" s="95"/>
      <c r="AR117" s="96"/>
      <c r="AS117" s="96"/>
      <c r="AT117" s="96"/>
      <c r="AU117" s="96"/>
      <c r="AV117" s="96"/>
      <c r="AW117" s="96"/>
      <c r="AX117" s="96"/>
    </row>
    <row r="118" spans="15:50" x14ac:dyDescent="0.25">
      <c r="O118" s="3">
        <v>6</v>
      </c>
      <c r="P118" s="92"/>
      <c r="Q118" s="92"/>
      <c r="R118" s="92"/>
      <c r="S118" s="91">
        <v>1</v>
      </c>
      <c r="T118" s="2"/>
      <c r="AM118" s="95"/>
      <c r="AN118" s="96"/>
      <c r="AO118" s="96"/>
      <c r="AP118" s="96"/>
      <c r="AQ118" s="95"/>
      <c r="AR118" s="96"/>
      <c r="AS118" s="96"/>
      <c r="AT118" s="96"/>
      <c r="AU118" s="96"/>
      <c r="AV118" s="96"/>
      <c r="AW118" s="96"/>
      <c r="AX118" s="96"/>
    </row>
    <row r="119" spans="15:50" x14ac:dyDescent="0.25">
      <c r="O119" s="3">
        <v>6</v>
      </c>
      <c r="P119" s="92"/>
      <c r="Q119" s="92"/>
      <c r="R119" s="92"/>
      <c r="S119" s="91">
        <v>1</v>
      </c>
      <c r="T119" s="2"/>
      <c r="AM119" s="95"/>
      <c r="AN119" s="96"/>
      <c r="AO119" s="96"/>
      <c r="AP119" s="96"/>
      <c r="AQ119" s="95"/>
      <c r="AR119" s="96"/>
      <c r="AS119" s="96"/>
      <c r="AT119" s="96"/>
      <c r="AU119" s="96"/>
      <c r="AV119" s="96"/>
      <c r="AW119" s="96"/>
      <c r="AX119" s="96"/>
    </row>
    <row r="120" spans="15:50" x14ac:dyDescent="0.25">
      <c r="O120" s="3">
        <v>7</v>
      </c>
      <c r="P120" s="92"/>
      <c r="Q120" s="92"/>
      <c r="R120" s="92"/>
      <c r="S120" s="91">
        <v>1</v>
      </c>
      <c r="T120" s="2"/>
      <c r="AM120" s="95"/>
      <c r="AN120" s="96"/>
      <c r="AO120" s="96"/>
      <c r="AP120" s="96"/>
      <c r="AQ120" s="95"/>
      <c r="AR120" s="96"/>
      <c r="AS120" s="96"/>
      <c r="AT120" s="96"/>
      <c r="AU120" s="96"/>
      <c r="AV120" s="96"/>
      <c r="AW120" s="96"/>
      <c r="AX120" s="96"/>
    </row>
    <row r="121" spans="15:50" x14ac:dyDescent="0.25">
      <c r="O121" s="3">
        <v>7</v>
      </c>
      <c r="P121" s="92"/>
      <c r="Q121" s="92"/>
      <c r="R121" s="92"/>
      <c r="S121" s="91">
        <v>1</v>
      </c>
      <c r="T121" s="2"/>
      <c r="AM121" s="95"/>
      <c r="AN121" s="96"/>
      <c r="AO121" s="96"/>
      <c r="AP121" s="96"/>
      <c r="AQ121" s="95"/>
      <c r="AR121" s="96"/>
      <c r="AS121" s="96"/>
      <c r="AT121" s="96"/>
      <c r="AU121" s="96"/>
      <c r="AV121" s="96"/>
      <c r="AW121" s="96"/>
      <c r="AX121" s="96"/>
    </row>
    <row r="122" spans="15:50" x14ac:dyDescent="0.25">
      <c r="O122" s="3">
        <v>7</v>
      </c>
      <c r="P122" s="92"/>
      <c r="Q122" s="92"/>
      <c r="R122" s="92"/>
      <c r="S122" s="91">
        <v>1</v>
      </c>
      <c r="T122" s="2"/>
      <c r="AM122" s="95"/>
      <c r="AN122" s="96"/>
      <c r="AO122" s="96"/>
      <c r="AP122" s="96"/>
      <c r="AQ122" s="95"/>
      <c r="AR122" s="96"/>
      <c r="AS122" s="96"/>
      <c r="AT122" s="96"/>
      <c r="AU122" s="96"/>
      <c r="AV122" s="96"/>
      <c r="AW122" s="96"/>
      <c r="AX122" s="96"/>
    </row>
    <row r="123" spans="15:50" x14ac:dyDescent="0.25">
      <c r="O123" s="3">
        <v>7</v>
      </c>
      <c r="P123" s="92"/>
      <c r="Q123" s="92"/>
      <c r="R123" s="92"/>
      <c r="S123" s="91">
        <v>1</v>
      </c>
      <c r="T123" s="2"/>
      <c r="AM123" s="95"/>
      <c r="AN123" s="96"/>
      <c r="AO123" s="96"/>
      <c r="AP123" s="96"/>
      <c r="AQ123" s="95"/>
      <c r="AR123" s="96"/>
      <c r="AS123" s="96"/>
      <c r="AT123" s="96"/>
      <c r="AU123" s="96"/>
      <c r="AV123" s="96"/>
      <c r="AW123" s="96"/>
      <c r="AX123" s="96"/>
    </row>
    <row r="124" spans="15:50" x14ac:dyDescent="0.25">
      <c r="O124" s="3">
        <v>7</v>
      </c>
      <c r="P124" s="92"/>
      <c r="Q124" s="92"/>
      <c r="R124" s="92"/>
      <c r="S124" s="91">
        <v>1</v>
      </c>
      <c r="T124" s="2"/>
      <c r="AM124" s="95"/>
      <c r="AN124" s="96"/>
      <c r="AO124" s="96"/>
      <c r="AP124" s="96"/>
      <c r="AQ124" s="95"/>
      <c r="AR124" s="96"/>
      <c r="AS124" s="96"/>
      <c r="AT124" s="96"/>
      <c r="AU124" s="96"/>
      <c r="AV124" s="96"/>
      <c r="AW124" s="96"/>
      <c r="AX124" s="96"/>
    </row>
    <row r="125" spans="15:50" x14ac:dyDescent="0.25">
      <c r="O125" s="3">
        <v>8</v>
      </c>
      <c r="P125" s="92"/>
      <c r="Q125" s="92"/>
      <c r="R125" s="92"/>
      <c r="S125" s="91">
        <v>1</v>
      </c>
      <c r="T125" s="2"/>
      <c r="AM125" s="95"/>
      <c r="AN125" s="96"/>
      <c r="AO125" s="96"/>
      <c r="AP125" s="96"/>
      <c r="AQ125" s="95"/>
      <c r="AR125" s="96"/>
      <c r="AS125" s="96"/>
      <c r="AT125" s="96"/>
      <c r="AU125" s="96"/>
      <c r="AV125" s="96"/>
      <c r="AW125" s="96"/>
      <c r="AX125" s="96"/>
    </row>
    <row r="126" spans="15:50" x14ac:dyDescent="0.25">
      <c r="O126" s="3">
        <v>8</v>
      </c>
      <c r="P126" s="92"/>
      <c r="Q126" s="92"/>
      <c r="R126" s="92"/>
      <c r="S126" s="91">
        <v>1</v>
      </c>
      <c r="T126" s="2"/>
      <c r="AM126" s="95"/>
      <c r="AN126" s="96"/>
      <c r="AO126" s="96"/>
      <c r="AP126" s="96"/>
      <c r="AQ126" s="95"/>
      <c r="AR126" s="96"/>
      <c r="AS126" s="96"/>
      <c r="AT126" s="96"/>
      <c r="AU126" s="96"/>
      <c r="AV126" s="96"/>
      <c r="AW126" s="96"/>
      <c r="AX126" s="96"/>
    </row>
    <row r="127" spans="15:50" x14ac:dyDescent="0.25">
      <c r="O127" s="3">
        <v>24</v>
      </c>
      <c r="P127" s="92"/>
      <c r="Q127" s="92"/>
      <c r="R127" s="92"/>
      <c r="S127" s="91">
        <v>1</v>
      </c>
      <c r="T127" s="2"/>
      <c r="AM127" s="95"/>
      <c r="AN127" s="96"/>
      <c r="AO127" s="96"/>
      <c r="AP127" s="96"/>
      <c r="AQ127" s="95"/>
      <c r="AR127" s="96"/>
      <c r="AS127" s="96"/>
      <c r="AT127" s="96"/>
      <c r="AU127" s="96"/>
      <c r="AV127" s="96"/>
      <c r="AW127" s="96"/>
      <c r="AX127" s="96"/>
    </row>
    <row r="128" spans="15:50" x14ac:dyDescent="0.25">
      <c r="O128" s="3">
        <v>24</v>
      </c>
      <c r="P128" s="92"/>
      <c r="Q128" s="92"/>
      <c r="R128" s="92"/>
      <c r="S128" s="91">
        <v>1</v>
      </c>
      <c r="T128" s="2"/>
      <c r="U128" s="92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</row>
    <row r="129" spans="15:21" x14ac:dyDescent="0.25">
      <c r="O129" s="3">
        <v>24</v>
      </c>
      <c r="P129" s="92"/>
      <c r="Q129" s="92"/>
      <c r="R129" s="92"/>
      <c r="S129" s="91">
        <v>1</v>
      </c>
      <c r="T129" s="2"/>
      <c r="U129" s="92"/>
    </row>
    <row r="130" spans="15:21" x14ac:dyDescent="0.25">
      <c r="O130" s="3">
        <v>1</v>
      </c>
      <c r="P130" s="92"/>
      <c r="Q130" s="92"/>
      <c r="R130" s="92"/>
      <c r="S130" s="92"/>
      <c r="T130" s="6">
        <v>1</v>
      </c>
    </row>
    <row r="131" spans="15:21" x14ac:dyDescent="0.25">
      <c r="O131" s="3">
        <v>3</v>
      </c>
      <c r="P131" s="92"/>
      <c r="Q131" s="92"/>
      <c r="R131" s="92"/>
      <c r="S131" s="92"/>
      <c r="T131" s="6">
        <v>1</v>
      </c>
    </row>
    <row r="132" spans="15:21" x14ac:dyDescent="0.25">
      <c r="O132" s="3">
        <v>5</v>
      </c>
      <c r="P132" s="92"/>
      <c r="Q132" s="92"/>
      <c r="R132" s="92"/>
      <c r="S132" s="92"/>
      <c r="T132" s="6">
        <v>1</v>
      </c>
    </row>
    <row r="133" spans="15:21" x14ac:dyDescent="0.25">
      <c r="O133" s="3">
        <v>5</v>
      </c>
      <c r="P133" s="92"/>
      <c r="Q133" s="92"/>
      <c r="R133" s="92"/>
      <c r="S133" s="92"/>
      <c r="T133" s="6">
        <v>1</v>
      </c>
    </row>
    <row r="134" spans="15:21" x14ac:dyDescent="0.25">
      <c r="O134" s="3">
        <v>6</v>
      </c>
      <c r="P134" s="92"/>
      <c r="Q134" s="92"/>
      <c r="R134" s="92"/>
      <c r="S134" s="92"/>
      <c r="T134" s="6">
        <v>1</v>
      </c>
    </row>
    <row r="135" spans="15:21" x14ac:dyDescent="0.25">
      <c r="O135" s="3">
        <v>8</v>
      </c>
      <c r="P135" s="92"/>
      <c r="Q135" s="92"/>
      <c r="R135" s="92"/>
      <c r="S135" s="92"/>
      <c r="T135" s="6">
        <v>1</v>
      </c>
    </row>
    <row r="136" spans="15:21" x14ac:dyDescent="0.25">
      <c r="O136" s="3">
        <v>8</v>
      </c>
      <c r="P136" s="92"/>
      <c r="Q136" s="92"/>
      <c r="R136" s="92"/>
      <c r="S136" s="92"/>
      <c r="T136" s="6">
        <v>1</v>
      </c>
    </row>
    <row r="137" spans="15:21" x14ac:dyDescent="0.25">
      <c r="O137" s="3">
        <v>8</v>
      </c>
      <c r="P137" s="92"/>
      <c r="Q137" s="92"/>
      <c r="R137" s="92"/>
      <c r="S137" s="92"/>
      <c r="T137" s="6">
        <v>1</v>
      </c>
    </row>
    <row r="138" spans="15:21" x14ac:dyDescent="0.25">
      <c r="O138" s="3">
        <v>8</v>
      </c>
      <c r="P138" s="92"/>
      <c r="Q138" s="92"/>
      <c r="R138" s="92"/>
      <c r="S138" s="92"/>
      <c r="T138" s="6">
        <v>1</v>
      </c>
    </row>
    <row r="139" spans="15:21" x14ac:dyDescent="0.25">
      <c r="O139" s="3">
        <v>8</v>
      </c>
      <c r="P139" s="92"/>
      <c r="Q139" s="92"/>
      <c r="R139" s="92"/>
      <c r="S139" s="92"/>
      <c r="T139" s="6">
        <v>1</v>
      </c>
    </row>
    <row r="140" spans="15:21" x14ac:dyDescent="0.25">
      <c r="O140" s="3">
        <v>8</v>
      </c>
      <c r="P140" s="92"/>
      <c r="Q140" s="92"/>
      <c r="R140" s="92"/>
      <c r="S140" s="92"/>
      <c r="T140" s="6">
        <v>1</v>
      </c>
    </row>
    <row r="141" spans="15:21" x14ac:dyDescent="0.25">
      <c r="O141" s="3">
        <v>8</v>
      </c>
      <c r="P141" s="92"/>
      <c r="Q141" s="92"/>
      <c r="R141" s="92"/>
      <c r="S141" s="92"/>
      <c r="T141" s="6">
        <v>1</v>
      </c>
    </row>
    <row r="142" spans="15:21" x14ac:dyDescent="0.25">
      <c r="O142" s="3">
        <v>24</v>
      </c>
      <c r="P142" s="92"/>
      <c r="Q142" s="92"/>
      <c r="R142" s="92"/>
      <c r="S142" s="92"/>
      <c r="T142" s="6">
        <v>1</v>
      </c>
    </row>
    <row r="143" spans="15:21" x14ac:dyDescent="0.25">
      <c r="O143" s="3">
        <v>24</v>
      </c>
      <c r="P143" s="92"/>
      <c r="Q143" s="92"/>
      <c r="R143" s="92"/>
      <c r="S143" s="92"/>
      <c r="T143" s="6">
        <v>1</v>
      </c>
    </row>
    <row r="144" spans="15:21" x14ac:dyDescent="0.25">
      <c r="O144" s="3">
        <v>24</v>
      </c>
      <c r="P144" s="92"/>
      <c r="Q144" s="92"/>
      <c r="R144" s="92"/>
      <c r="S144" s="92"/>
      <c r="T144" s="6">
        <v>1</v>
      </c>
    </row>
    <row r="145" spans="15:20" x14ac:dyDescent="0.25">
      <c r="O145" s="3">
        <v>24</v>
      </c>
      <c r="P145" s="92"/>
      <c r="Q145" s="92"/>
      <c r="R145" s="92"/>
      <c r="S145" s="92"/>
      <c r="T145" s="6">
        <v>0</v>
      </c>
    </row>
    <row r="146" spans="15:20" x14ac:dyDescent="0.25">
      <c r="O146" s="3">
        <v>24</v>
      </c>
      <c r="P146" s="92"/>
      <c r="Q146" s="92"/>
      <c r="R146" s="92"/>
      <c r="S146" s="92"/>
      <c r="T146" s="6">
        <v>0</v>
      </c>
    </row>
    <row r="147" spans="15:20" x14ac:dyDescent="0.25">
      <c r="O147" s="3">
        <v>24</v>
      </c>
      <c r="P147" s="92"/>
      <c r="Q147" s="92"/>
      <c r="R147" s="92"/>
      <c r="S147" s="92"/>
      <c r="T147" s="6">
        <v>0</v>
      </c>
    </row>
    <row r="148" spans="15:20" x14ac:dyDescent="0.25">
      <c r="O148" s="3">
        <v>24</v>
      </c>
      <c r="P148" s="92"/>
      <c r="Q148" s="92"/>
      <c r="R148" s="92"/>
      <c r="S148" s="92"/>
      <c r="T148" s="6">
        <v>0</v>
      </c>
    </row>
    <row r="149" spans="15:20" x14ac:dyDescent="0.25">
      <c r="O149" s="17">
        <v>24</v>
      </c>
      <c r="P149" s="15"/>
      <c r="Q149" s="15"/>
      <c r="R149" s="15"/>
      <c r="S149" s="15"/>
      <c r="T149" s="19">
        <v>0</v>
      </c>
    </row>
  </sheetData>
  <mergeCells count="12">
    <mergeCell ref="O1:R1"/>
    <mergeCell ref="AS2:AT2"/>
    <mergeCell ref="AS9:AT9"/>
    <mergeCell ref="I3:M3"/>
    <mergeCell ref="I5:I64"/>
    <mergeCell ref="V3:AA3"/>
    <mergeCell ref="V5:V64"/>
    <mergeCell ref="AS39:AT39"/>
    <mergeCell ref="AS27:AT27"/>
    <mergeCell ref="AS33:AT33"/>
    <mergeCell ref="AS15:AT15"/>
    <mergeCell ref="AS21:AT2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A2C2-D824-425D-9BB8-55B7501BD6E2}">
  <dimension ref="A1:AT108"/>
  <sheetViews>
    <sheetView zoomScale="51" zoomScaleNormal="53" workbookViewId="0">
      <selection activeCell="G57" sqref="G57"/>
    </sheetView>
  </sheetViews>
  <sheetFormatPr defaultRowHeight="15" x14ac:dyDescent="0.25"/>
  <cols>
    <col min="2" max="2" width="16.28515625" customWidth="1"/>
    <col min="7" max="7" width="22.28515625" customWidth="1"/>
    <col min="14" max="14" width="10" customWidth="1"/>
    <col min="17" max="17" width="19.140625" customWidth="1"/>
    <col min="19" max="19" width="16.7109375" customWidth="1"/>
    <col min="20" max="20" width="12.28515625" customWidth="1"/>
    <col min="21" max="21" width="11.5703125" customWidth="1"/>
    <col min="22" max="22" width="20" customWidth="1"/>
    <col min="23" max="23" width="12.7109375" customWidth="1"/>
    <col min="36" max="36" width="38" customWidth="1"/>
  </cols>
  <sheetData>
    <row r="1" spans="1:46" x14ac:dyDescent="0.25">
      <c r="A1" s="104"/>
      <c r="B1" s="285" t="s">
        <v>195</v>
      </c>
      <c r="C1" s="285"/>
      <c r="D1" s="285"/>
      <c r="E1" s="285"/>
      <c r="F1" s="104"/>
      <c r="G1" s="325" t="s">
        <v>196</v>
      </c>
      <c r="H1" s="325"/>
      <c r="I1" s="325"/>
      <c r="J1" s="325"/>
      <c r="M1" s="104"/>
      <c r="N1" s="104"/>
      <c r="Q1" s="285" t="s">
        <v>195</v>
      </c>
      <c r="R1" s="285"/>
      <c r="S1" s="285"/>
      <c r="T1" s="285"/>
      <c r="U1" s="104"/>
      <c r="V1" s="324" t="s">
        <v>221</v>
      </c>
      <c r="W1" s="324"/>
      <c r="X1" s="324"/>
      <c r="Y1" s="324"/>
      <c r="Z1" s="96"/>
    </row>
    <row r="2" spans="1:46" x14ac:dyDescent="0.25">
      <c r="A2" s="104"/>
      <c r="B2" s="104"/>
      <c r="C2" s="104" t="s">
        <v>152</v>
      </c>
      <c r="D2" s="104" t="s">
        <v>153</v>
      </c>
      <c r="E2" s="104" t="s">
        <v>119</v>
      </c>
      <c r="F2" s="104"/>
      <c r="G2" s="138"/>
      <c r="H2" s="138" t="s">
        <v>152</v>
      </c>
      <c r="I2" s="138" t="s">
        <v>153</v>
      </c>
      <c r="J2" s="138" t="s">
        <v>119</v>
      </c>
      <c r="M2" s="104"/>
      <c r="N2" s="104"/>
      <c r="Q2" s="138"/>
      <c r="R2" s="138" t="s">
        <v>152</v>
      </c>
      <c r="S2" s="138" t="s">
        <v>153</v>
      </c>
      <c r="T2" s="138" t="s">
        <v>119</v>
      </c>
      <c r="U2" s="104"/>
      <c r="V2" s="104"/>
      <c r="W2" s="104" t="s">
        <v>152</v>
      </c>
      <c r="X2" s="104" t="s">
        <v>153</v>
      </c>
      <c r="Y2" s="104" t="s">
        <v>119</v>
      </c>
      <c r="Z2" s="96"/>
    </row>
    <row r="3" spans="1:46" x14ac:dyDescent="0.25">
      <c r="A3" s="104"/>
      <c r="B3" s="104" t="s">
        <v>123</v>
      </c>
      <c r="C3" s="104">
        <v>10.560691833496</v>
      </c>
      <c r="D3" s="104">
        <v>10.255169868469199</v>
      </c>
      <c r="E3" s="104">
        <f t="shared" ref="E3:E8" si="0">AVERAGE(C3:D3)</f>
        <v>10.407930850982599</v>
      </c>
      <c r="F3" s="104"/>
      <c r="G3" s="138" t="s">
        <v>123</v>
      </c>
      <c r="H3" s="138">
        <v>25.338861465454102</v>
      </c>
      <c r="I3" s="138">
        <v>25.458248138427699</v>
      </c>
      <c r="J3" s="138">
        <f t="shared" ref="J3:J8" si="1">AVERAGE(H3:I3)</f>
        <v>25.3985548019409</v>
      </c>
      <c r="M3" s="104"/>
      <c r="N3" s="104"/>
      <c r="Q3" s="138" t="s">
        <v>123</v>
      </c>
      <c r="R3" s="138">
        <v>10.560691833496</v>
      </c>
      <c r="S3" s="138">
        <v>10.255169868469199</v>
      </c>
      <c r="T3" s="138">
        <f t="shared" ref="T3:T8" si="2">AVERAGE(R3:S3)</f>
        <v>10.407930850982599</v>
      </c>
      <c r="U3" s="104"/>
      <c r="V3" s="104" t="s">
        <v>123</v>
      </c>
      <c r="W3" s="104">
        <v>26.3294582366943</v>
      </c>
      <c r="X3" s="104">
        <v>26.720607757568299</v>
      </c>
      <c r="Y3" s="104">
        <f t="shared" ref="Y3:Y8" si="3">AVERAGE(W3:X3)</f>
        <v>26.525032997131298</v>
      </c>
      <c r="Z3" s="96"/>
    </row>
    <row r="4" spans="1:46" x14ac:dyDescent="0.25">
      <c r="A4" s="104"/>
      <c r="B4" s="104" t="s">
        <v>167</v>
      </c>
      <c r="C4" s="104">
        <v>9.1937379837036008</v>
      </c>
      <c r="D4" s="104">
        <v>9.6171207427978</v>
      </c>
      <c r="E4" s="104">
        <f t="shared" si="0"/>
        <v>9.4054293632507004</v>
      </c>
      <c r="F4" s="104"/>
      <c r="G4" s="138" t="s">
        <v>167</v>
      </c>
      <c r="H4" s="138">
        <v>24.8348579406738</v>
      </c>
      <c r="I4" s="138">
        <v>24.895603179931001</v>
      </c>
      <c r="J4" s="138">
        <f t="shared" si="1"/>
        <v>24.8652305603024</v>
      </c>
      <c r="M4" s="104"/>
      <c r="N4" s="104"/>
      <c r="Q4" s="138" t="s">
        <v>167</v>
      </c>
      <c r="R4" s="138">
        <v>9.1937379837036008</v>
      </c>
      <c r="S4" s="138">
        <v>9.6171207427978</v>
      </c>
      <c r="T4" s="138">
        <f t="shared" si="2"/>
        <v>9.4054293632507004</v>
      </c>
      <c r="U4" s="104"/>
      <c r="V4" s="104" t="s">
        <v>167</v>
      </c>
      <c r="W4" s="104">
        <v>26.641090393066399</v>
      </c>
      <c r="X4" s="104">
        <v>26.589525222778299</v>
      </c>
      <c r="Y4" s="104">
        <f t="shared" si="3"/>
        <v>26.615307807922349</v>
      </c>
      <c r="Z4" s="96"/>
    </row>
    <row r="5" spans="1:46" x14ac:dyDescent="0.25">
      <c r="A5" s="104"/>
      <c r="B5" s="104" t="s">
        <v>168</v>
      </c>
      <c r="C5" s="104">
        <v>9.7711944580078001</v>
      </c>
      <c r="D5" s="104">
        <v>9.2838230133056001</v>
      </c>
      <c r="E5" s="104">
        <f t="shared" si="0"/>
        <v>9.5275087356566992</v>
      </c>
      <c r="F5" s="104"/>
      <c r="G5" s="138" t="s">
        <v>168</v>
      </c>
      <c r="H5" s="138">
        <v>23.792797088623001</v>
      </c>
      <c r="I5" s="138">
        <v>23.538625717163001</v>
      </c>
      <c r="J5" s="138">
        <f t="shared" si="1"/>
        <v>23.665711402893002</v>
      </c>
      <c r="M5" s="104"/>
      <c r="N5" s="104"/>
      <c r="Q5" s="138" t="s">
        <v>168</v>
      </c>
      <c r="R5" s="138">
        <v>9.7711944580078001</v>
      </c>
      <c r="S5" s="138">
        <v>9.2838230133056001</v>
      </c>
      <c r="T5" s="138">
        <f t="shared" si="2"/>
        <v>9.5275087356566992</v>
      </c>
      <c r="U5" s="104"/>
      <c r="V5" s="104" t="s">
        <v>168</v>
      </c>
      <c r="W5" s="104">
        <v>25.930747985839801</v>
      </c>
      <c r="X5" s="104">
        <v>25.714218139648398</v>
      </c>
      <c r="Y5" s="104">
        <f t="shared" si="3"/>
        <v>25.822483062744098</v>
      </c>
      <c r="Z5" s="96"/>
    </row>
    <row r="6" spans="1:46" x14ac:dyDescent="0.25">
      <c r="A6" s="104"/>
      <c r="B6" s="104" t="s">
        <v>169</v>
      </c>
      <c r="C6" s="104">
        <v>10.2547397613525</v>
      </c>
      <c r="D6" s="104">
        <v>10.244075775146401</v>
      </c>
      <c r="E6" s="104">
        <f t="shared" si="0"/>
        <v>10.249407768249451</v>
      </c>
      <c r="F6" s="104"/>
      <c r="G6" s="138" t="s">
        <v>169</v>
      </c>
      <c r="H6" s="138">
        <v>24.897468566894499</v>
      </c>
      <c r="I6" s="138">
        <v>24.030939102172798</v>
      </c>
      <c r="J6" s="138">
        <f t="shared" si="1"/>
        <v>24.464203834533649</v>
      </c>
      <c r="M6" s="104"/>
      <c r="N6" s="104"/>
      <c r="Q6" s="138" t="s">
        <v>169</v>
      </c>
      <c r="R6" s="138">
        <v>10.2547397613525</v>
      </c>
      <c r="S6" s="138">
        <v>10.244075775146401</v>
      </c>
      <c r="T6" s="138">
        <f t="shared" si="2"/>
        <v>10.249407768249451</v>
      </c>
      <c r="U6" s="104"/>
      <c r="V6" s="104" t="s">
        <v>169</v>
      </c>
      <c r="W6" s="104">
        <v>26.401441574096602</v>
      </c>
      <c r="X6" s="104">
        <v>26.282009124755799</v>
      </c>
      <c r="Y6" s="104">
        <f t="shared" si="3"/>
        <v>26.341725349426198</v>
      </c>
      <c r="Z6" s="96"/>
    </row>
    <row r="7" spans="1:46" x14ac:dyDescent="0.25">
      <c r="A7" s="104"/>
      <c r="B7" s="104" t="s">
        <v>170</v>
      </c>
      <c r="C7" s="104">
        <v>12.190349578857401</v>
      </c>
      <c r="D7" s="104">
        <v>12.1247749328613</v>
      </c>
      <c r="E7" s="104">
        <f t="shared" si="0"/>
        <v>12.15756225585935</v>
      </c>
      <c r="F7" s="104"/>
      <c r="G7" s="138" t="s">
        <v>170</v>
      </c>
      <c r="H7" s="138">
        <v>26.6536865234375</v>
      </c>
      <c r="I7" s="138">
        <v>26.788145065307599</v>
      </c>
      <c r="J7" s="138">
        <f t="shared" si="1"/>
        <v>26.720915794372551</v>
      </c>
      <c r="M7" s="104"/>
      <c r="N7" s="104"/>
      <c r="Q7" s="138" t="s">
        <v>170</v>
      </c>
      <c r="R7" s="138">
        <v>12.190349578857401</v>
      </c>
      <c r="S7" s="138">
        <v>12.1247749328613</v>
      </c>
      <c r="T7" s="138">
        <f t="shared" si="2"/>
        <v>12.15756225585935</v>
      </c>
      <c r="U7" s="104"/>
      <c r="V7" s="104" t="s">
        <v>170</v>
      </c>
      <c r="W7" s="104">
        <v>28.4335002899169</v>
      </c>
      <c r="X7" s="104">
        <v>28.771347045898398</v>
      </c>
      <c r="Y7" s="104">
        <f t="shared" si="3"/>
        <v>28.602423667907651</v>
      </c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</row>
    <row r="8" spans="1:46" x14ac:dyDescent="0.25">
      <c r="A8" s="104"/>
      <c r="B8" s="104" t="s">
        <v>171</v>
      </c>
      <c r="C8" s="104">
        <v>11.9189682006835</v>
      </c>
      <c r="D8" s="104">
        <v>12.014533996581999</v>
      </c>
      <c r="E8" s="104">
        <f t="shared" si="0"/>
        <v>11.966751098632749</v>
      </c>
      <c r="F8" s="104"/>
      <c r="G8" s="138" t="s">
        <v>171</v>
      </c>
      <c r="H8" s="138">
        <v>25.889451980590799</v>
      </c>
      <c r="I8" s="138">
        <v>25.541763305663999</v>
      </c>
      <c r="J8" s="138">
        <f t="shared" si="1"/>
        <v>25.715607643127399</v>
      </c>
      <c r="M8" s="104"/>
      <c r="N8" s="104"/>
      <c r="Q8" s="138" t="s">
        <v>222</v>
      </c>
      <c r="R8" s="138">
        <v>11.9189682006835</v>
      </c>
      <c r="S8" s="138">
        <v>12.014533996581999</v>
      </c>
      <c r="T8" s="138">
        <f t="shared" si="2"/>
        <v>11.966751098632749</v>
      </c>
      <c r="U8" s="104"/>
      <c r="V8" s="104" t="s">
        <v>171</v>
      </c>
      <c r="W8" s="104">
        <v>28.638393402099599</v>
      </c>
      <c r="X8" s="104">
        <v>28.1930427551269</v>
      </c>
      <c r="Y8" s="104">
        <f t="shared" si="3"/>
        <v>28.415718078613249</v>
      </c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</row>
    <row r="9" spans="1:46" x14ac:dyDescent="0.25">
      <c r="A9" s="104"/>
      <c r="B9" s="104"/>
      <c r="C9" s="104"/>
      <c r="D9" s="104"/>
      <c r="E9" s="104"/>
      <c r="F9" s="104"/>
      <c r="G9" s="138"/>
      <c r="H9" s="138"/>
      <c r="I9" s="138"/>
      <c r="J9" s="138"/>
      <c r="M9" s="104"/>
      <c r="N9" s="104"/>
      <c r="Q9" s="138"/>
      <c r="R9" s="138"/>
      <c r="S9" s="138"/>
      <c r="T9" s="138"/>
      <c r="U9" s="104"/>
      <c r="V9" s="104"/>
      <c r="W9" s="104"/>
      <c r="X9" s="104"/>
      <c r="Y9" s="104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</row>
    <row r="10" spans="1:46" x14ac:dyDescent="0.25">
      <c r="A10" s="104"/>
      <c r="B10" s="104"/>
      <c r="C10" s="104"/>
      <c r="D10" s="104"/>
      <c r="E10" s="104"/>
      <c r="F10" s="104"/>
      <c r="G10" s="138"/>
      <c r="H10" s="138"/>
      <c r="I10" s="138"/>
      <c r="J10" s="138"/>
      <c r="M10" s="104"/>
      <c r="N10" s="104"/>
      <c r="Q10" s="138"/>
      <c r="R10" s="138"/>
      <c r="S10" s="138"/>
      <c r="T10" s="138"/>
      <c r="U10" s="104"/>
      <c r="V10" s="104"/>
      <c r="W10" s="104"/>
      <c r="X10" s="104"/>
      <c r="Y10" s="104"/>
      <c r="Z10" s="275"/>
      <c r="AA10" s="275"/>
      <c r="AB10" s="275"/>
      <c r="AC10" s="275"/>
      <c r="AD10" s="275"/>
      <c r="AE10" s="275"/>
      <c r="AF10" s="275"/>
      <c r="AG10" s="275"/>
      <c r="AH10" s="275"/>
      <c r="AI10" s="96"/>
      <c r="AJ10" s="275"/>
      <c r="AK10" s="275"/>
      <c r="AL10" s="275"/>
      <c r="AM10" s="275"/>
      <c r="AN10" s="275"/>
      <c r="AO10" s="275"/>
      <c r="AP10" s="275"/>
      <c r="AQ10" s="275"/>
      <c r="AR10" s="275"/>
      <c r="AS10" s="96"/>
      <c r="AT10" s="96"/>
    </row>
    <row r="11" spans="1:46" x14ac:dyDescent="0.25">
      <c r="A11" s="104"/>
      <c r="B11" s="104" t="s">
        <v>197</v>
      </c>
      <c r="C11" s="104">
        <v>9.8521327972412109</v>
      </c>
      <c r="D11" s="104">
        <v>9.8521327972412109</v>
      </c>
      <c r="E11" s="104">
        <f t="shared" ref="E11:E16" si="4">AVERAGE(C11:D11)</f>
        <v>9.8521327972412109</v>
      </c>
      <c r="F11" s="104"/>
      <c r="G11" s="138" t="s">
        <v>197</v>
      </c>
      <c r="H11" s="138">
        <v>19.070409774780273</v>
      </c>
      <c r="I11" s="138">
        <v>20.960260391235352</v>
      </c>
      <c r="J11" s="138">
        <f t="shared" ref="J11:J16" si="5">AVERAGE(H11:I11)</f>
        <v>20.015335083007813</v>
      </c>
      <c r="M11" s="104"/>
      <c r="N11" s="104"/>
      <c r="Q11" s="138" t="s">
        <v>197</v>
      </c>
      <c r="R11" s="138">
        <v>9.8521327972412109</v>
      </c>
      <c r="S11" s="138">
        <v>9.8521327972412109</v>
      </c>
      <c r="T11" s="138">
        <f t="shared" ref="T11:T16" si="6">AVERAGE(R11:S11)</f>
        <v>9.8521327972412109</v>
      </c>
      <c r="U11" s="104"/>
      <c r="V11" s="104" t="s">
        <v>197</v>
      </c>
      <c r="W11" s="104">
        <v>22.141735076904297</v>
      </c>
      <c r="X11" s="104">
        <v>22.305759429931641</v>
      </c>
      <c r="Y11" s="104">
        <f t="shared" ref="Y11:Y16" si="7">AVERAGE(W11:X11)</f>
        <v>22.223747253417969</v>
      </c>
      <c r="Z11" s="125"/>
      <c r="AA11" s="175"/>
      <c r="AB11" s="175"/>
      <c r="AC11" s="175"/>
      <c r="AD11" s="175"/>
      <c r="AE11" s="175"/>
      <c r="AF11" s="96"/>
      <c r="AG11" s="96"/>
      <c r="AH11" s="96"/>
      <c r="AI11" s="96"/>
      <c r="AJ11" s="125"/>
      <c r="AK11" s="175"/>
      <c r="AL11" s="175"/>
      <c r="AM11" s="175"/>
      <c r="AN11" s="175"/>
      <c r="AO11" s="175"/>
      <c r="AP11" s="96"/>
      <c r="AQ11" s="96"/>
      <c r="AR11" s="96"/>
      <c r="AS11" s="96"/>
      <c r="AT11" s="96"/>
    </row>
    <row r="12" spans="1:46" x14ac:dyDescent="0.25">
      <c r="A12" s="104"/>
      <c r="B12" s="104" t="s">
        <v>198</v>
      </c>
      <c r="C12" s="104">
        <v>8.6097631454467773</v>
      </c>
      <c r="D12" s="104">
        <v>8.7654361724853516</v>
      </c>
      <c r="E12" s="104">
        <f t="shared" si="4"/>
        <v>8.6875996589660645</v>
      </c>
      <c r="F12" s="104"/>
      <c r="G12" s="138" t="s">
        <v>198</v>
      </c>
      <c r="H12" s="138">
        <v>19.507879257202148</v>
      </c>
      <c r="I12" s="138">
        <v>19.412147521972656</v>
      </c>
      <c r="J12" s="138">
        <f t="shared" si="5"/>
        <v>19.460013389587402</v>
      </c>
      <c r="M12" s="104"/>
      <c r="N12" s="104"/>
      <c r="Q12" s="138" t="s">
        <v>198</v>
      </c>
      <c r="R12" s="138">
        <v>8.6097631454467773</v>
      </c>
      <c r="S12" s="138">
        <v>8.7654361724853516</v>
      </c>
      <c r="T12" s="138">
        <f t="shared" si="6"/>
        <v>8.6875996589660645</v>
      </c>
      <c r="U12" s="104"/>
      <c r="V12" s="104" t="s">
        <v>198</v>
      </c>
      <c r="W12" s="104">
        <v>21.573873519897461</v>
      </c>
      <c r="X12" s="104">
        <v>21.551597595214844</v>
      </c>
      <c r="Y12" s="104">
        <f t="shared" si="7"/>
        <v>21.562735557556152</v>
      </c>
      <c r="Z12" s="125"/>
      <c r="AA12" s="175"/>
      <c r="AB12" s="175"/>
      <c r="AC12" s="175"/>
      <c r="AD12" s="175"/>
      <c r="AE12" s="175"/>
      <c r="AF12" s="96"/>
      <c r="AG12" s="96"/>
      <c r="AH12" s="96"/>
      <c r="AI12" s="96"/>
      <c r="AJ12" s="125"/>
      <c r="AK12" s="175"/>
      <c r="AL12" s="175"/>
      <c r="AM12" s="175"/>
      <c r="AN12" s="175"/>
      <c r="AO12" s="175"/>
      <c r="AP12" s="96"/>
      <c r="AQ12" s="96"/>
      <c r="AR12" s="96"/>
      <c r="AS12" s="96"/>
      <c r="AT12" s="96"/>
    </row>
    <row r="13" spans="1:46" x14ac:dyDescent="0.25">
      <c r="A13" s="104"/>
      <c r="B13" s="104" t="s">
        <v>199</v>
      </c>
      <c r="C13" s="104">
        <v>9.2269859313964009</v>
      </c>
      <c r="D13" s="104">
        <v>9.0205507278441992</v>
      </c>
      <c r="E13" s="104">
        <f t="shared" si="4"/>
        <v>9.1237683296203009</v>
      </c>
      <c r="F13" s="104"/>
      <c r="G13" s="138" t="s">
        <v>199</v>
      </c>
      <c r="H13" s="138">
        <v>18.864849090576172</v>
      </c>
      <c r="I13" s="138">
        <v>19.797107696533203</v>
      </c>
      <c r="J13" s="138">
        <f t="shared" si="5"/>
        <v>19.330978393554688</v>
      </c>
      <c r="M13" s="104"/>
      <c r="N13" s="104"/>
      <c r="Q13" s="138" t="s">
        <v>199</v>
      </c>
      <c r="R13" s="138">
        <v>9.2269859313964009</v>
      </c>
      <c r="S13" s="138">
        <v>9.0205507278441992</v>
      </c>
      <c r="T13" s="138">
        <f t="shared" si="6"/>
        <v>9.1237683296203009</v>
      </c>
      <c r="U13" s="104"/>
      <c r="V13" s="104" t="s">
        <v>199</v>
      </c>
      <c r="W13" s="104">
        <v>21.20936393737793</v>
      </c>
      <c r="X13" s="104">
        <v>21.734464645385742</v>
      </c>
      <c r="Y13" s="104">
        <f t="shared" si="7"/>
        <v>21.471914291381836</v>
      </c>
      <c r="Z13" s="104"/>
      <c r="AA13" s="104"/>
      <c r="AB13" s="104"/>
      <c r="AC13" s="104"/>
      <c r="AD13" s="104"/>
      <c r="AE13" s="175"/>
      <c r="AF13" s="96"/>
      <c r="AG13" s="96"/>
      <c r="AH13" s="96"/>
      <c r="AI13" s="96"/>
      <c r="AJ13" s="125"/>
      <c r="AK13" s="175"/>
      <c r="AL13" s="175"/>
      <c r="AM13" s="175"/>
      <c r="AN13" s="175"/>
      <c r="AO13" s="175"/>
      <c r="AP13" s="96"/>
      <c r="AQ13" s="96"/>
      <c r="AR13" s="96"/>
      <c r="AS13" s="96"/>
      <c r="AT13" s="96"/>
    </row>
    <row r="14" spans="1:46" x14ac:dyDescent="0.25">
      <c r="A14" s="104"/>
      <c r="B14" s="104" t="s">
        <v>200</v>
      </c>
      <c r="C14" s="104">
        <v>10.2341</v>
      </c>
      <c r="D14" s="104">
        <v>9.8765319999999992</v>
      </c>
      <c r="E14" s="104">
        <f t="shared" si="4"/>
        <v>10.055315999999999</v>
      </c>
      <c r="F14" s="104"/>
      <c r="G14" s="138" t="s">
        <v>200</v>
      </c>
      <c r="H14" s="138">
        <v>21.098278045654297</v>
      </c>
      <c r="I14" s="138">
        <v>20.061456680297852</v>
      </c>
      <c r="J14" s="138">
        <f t="shared" si="5"/>
        <v>20.579867362976074</v>
      </c>
      <c r="M14" s="104"/>
      <c r="N14" s="104"/>
      <c r="Q14" s="138" t="s">
        <v>200</v>
      </c>
      <c r="R14" s="138">
        <v>10.2341</v>
      </c>
      <c r="S14" s="138">
        <v>9.8765319999999992</v>
      </c>
      <c r="T14" s="138">
        <f t="shared" si="6"/>
        <v>10.055315999999999</v>
      </c>
      <c r="U14" s="104"/>
      <c r="V14" s="104" t="s">
        <v>200</v>
      </c>
      <c r="W14" s="104">
        <v>22.317111968994141</v>
      </c>
      <c r="X14" s="104">
        <v>22.336870193481445</v>
      </c>
      <c r="Y14" s="104">
        <f t="shared" si="7"/>
        <v>22.326991081237793</v>
      </c>
      <c r="AE14" s="175"/>
      <c r="AF14" s="96"/>
      <c r="AG14" s="96"/>
      <c r="AH14" s="96"/>
      <c r="AI14" s="96"/>
      <c r="AJ14" s="125"/>
      <c r="AK14" s="175"/>
      <c r="AL14" s="175"/>
      <c r="AM14" s="175"/>
      <c r="AN14" s="175"/>
      <c r="AO14" s="175"/>
      <c r="AP14" s="96"/>
      <c r="AQ14" s="96"/>
      <c r="AR14" s="96"/>
      <c r="AS14" s="96"/>
      <c r="AT14" s="96"/>
    </row>
    <row r="15" spans="1:46" x14ac:dyDescent="0.25">
      <c r="A15" s="104"/>
      <c r="B15" s="104" t="s">
        <v>201</v>
      </c>
      <c r="C15" s="104">
        <v>9.9653787612915039</v>
      </c>
      <c r="D15" s="104">
        <v>9.4055948257446289</v>
      </c>
      <c r="E15" s="104">
        <f t="shared" si="4"/>
        <v>9.6854867935180664</v>
      </c>
      <c r="F15" s="104"/>
      <c r="G15" s="138" t="s">
        <v>201</v>
      </c>
      <c r="H15" s="138">
        <v>20.841753005981399</v>
      </c>
      <c r="I15" s="138">
        <v>19.9348545074462</v>
      </c>
      <c r="J15" s="138">
        <f t="shared" si="5"/>
        <v>20.3883037567138</v>
      </c>
      <c r="M15" s="104"/>
      <c r="N15" s="104"/>
      <c r="Q15" s="138" t="s">
        <v>201</v>
      </c>
      <c r="R15" s="138">
        <v>9.9653787612915039</v>
      </c>
      <c r="S15" s="138">
        <v>9.4055948257446289</v>
      </c>
      <c r="T15" s="138">
        <f t="shared" si="6"/>
        <v>9.6854867935180664</v>
      </c>
      <c r="U15" s="104"/>
      <c r="V15" s="104" t="s">
        <v>201</v>
      </c>
      <c r="W15" s="104">
        <v>22.018592834472656</v>
      </c>
      <c r="X15" s="104">
        <v>22.284208297729492</v>
      </c>
      <c r="Y15" s="104">
        <f t="shared" si="7"/>
        <v>22.151400566101074</v>
      </c>
      <c r="AE15" s="175"/>
      <c r="AF15" s="96"/>
      <c r="AG15" s="96"/>
      <c r="AH15" s="96"/>
      <c r="AI15" s="96"/>
      <c r="AJ15" s="125"/>
      <c r="AK15" s="175"/>
      <c r="AL15" s="175"/>
      <c r="AM15" s="175"/>
      <c r="AN15" s="175"/>
      <c r="AO15" s="175"/>
      <c r="AP15" s="96"/>
      <c r="AQ15" s="96"/>
      <c r="AR15" s="96"/>
      <c r="AS15" s="96"/>
      <c r="AT15" s="96"/>
    </row>
    <row r="16" spans="1:46" x14ac:dyDescent="0.25">
      <c r="A16" s="104"/>
      <c r="B16" s="104" t="s">
        <v>202</v>
      </c>
      <c r="C16" s="104">
        <v>10.2365379333496</v>
      </c>
      <c r="D16" s="104">
        <v>9.2181196212768555</v>
      </c>
      <c r="E16" s="104">
        <f t="shared" si="4"/>
        <v>9.7273287773132289</v>
      </c>
      <c r="F16" s="104"/>
      <c r="G16" s="138" t="s">
        <v>202</v>
      </c>
      <c r="H16" s="138">
        <v>20.10090446472168</v>
      </c>
      <c r="I16" s="138">
        <v>19.966012954711914</v>
      </c>
      <c r="J16" s="138">
        <f t="shared" si="5"/>
        <v>20.033458709716797</v>
      </c>
      <c r="M16" s="104"/>
      <c r="N16" s="104"/>
      <c r="Q16" s="138" t="s">
        <v>202</v>
      </c>
      <c r="R16" s="138">
        <v>10.2365379333496</v>
      </c>
      <c r="S16" s="138">
        <v>9.2181196212768555</v>
      </c>
      <c r="T16" s="138">
        <f t="shared" si="6"/>
        <v>9.7273287773132289</v>
      </c>
      <c r="U16" s="104"/>
      <c r="V16" s="104" t="s">
        <v>202</v>
      </c>
      <c r="W16" s="104">
        <v>20.904544830322266</v>
      </c>
      <c r="X16" s="104">
        <v>22.044092178344727</v>
      </c>
      <c r="Y16" s="104">
        <f t="shared" si="7"/>
        <v>21.474318504333496</v>
      </c>
      <c r="AE16" s="175"/>
      <c r="AF16" s="96"/>
      <c r="AG16" s="96"/>
      <c r="AH16" s="96"/>
      <c r="AI16" s="96"/>
      <c r="AJ16" s="125"/>
      <c r="AK16" s="175"/>
      <c r="AL16" s="175"/>
      <c r="AM16" s="175"/>
      <c r="AN16" s="175"/>
      <c r="AO16" s="175"/>
      <c r="AP16" s="96"/>
      <c r="AQ16" s="96"/>
      <c r="AR16" s="96"/>
      <c r="AS16" s="96"/>
      <c r="AT16" s="96"/>
    </row>
    <row r="17" spans="1:46" x14ac:dyDescent="0.25">
      <c r="A17" s="104"/>
      <c r="B17" s="104"/>
      <c r="C17" s="104"/>
      <c r="D17" s="104"/>
      <c r="E17" s="104"/>
      <c r="F17" s="104"/>
      <c r="G17" s="138"/>
      <c r="H17" s="138"/>
      <c r="I17" s="138"/>
      <c r="J17" s="138"/>
      <c r="M17" s="104"/>
      <c r="N17" s="104"/>
      <c r="Q17" s="138"/>
      <c r="R17" s="138"/>
      <c r="S17" s="138"/>
      <c r="T17" s="138"/>
      <c r="U17" s="104"/>
      <c r="V17" s="104"/>
      <c r="W17" s="104"/>
      <c r="X17" s="104"/>
      <c r="Y17" s="104"/>
      <c r="AE17" s="175"/>
      <c r="AF17" s="96"/>
      <c r="AG17" s="96"/>
      <c r="AH17" s="96"/>
      <c r="AI17" s="96"/>
      <c r="AJ17" s="125"/>
      <c r="AK17" s="175"/>
      <c r="AL17" s="175"/>
      <c r="AM17" s="175"/>
      <c r="AN17" s="175"/>
      <c r="AO17" s="175"/>
      <c r="AP17" s="96"/>
      <c r="AQ17" s="96"/>
      <c r="AR17" s="96"/>
      <c r="AS17" s="96"/>
      <c r="AT17" s="96"/>
    </row>
    <row r="18" spans="1:46" x14ac:dyDescent="0.25">
      <c r="A18" s="104"/>
      <c r="B18" s="104"/>
      <c r="C18" s="104"/>
      <c r="D18" s="104"/>
      <c r="E18" s="104"/>
      <c r="F18" s="104"/>
      <c r="G18" s="138"/>
      <c r="H18" s="138"/>
      <c r="I18" s="138"/>
      <c r="J18" s="138"/>
      <c r="M18" s="104"/>
      <c r="N18" s="104"/>
      <c r="Q18" s="138"/>
      <c r="R18" s="138"/>
      <c r="S18" s="138"/>
      <c r="T18" s="138"/>
      <c r="U18" s="104"/>
      <c r="V18" s="104"/>
      <c r="W18" s="104"/>
      <c r="X18" s="104"/>
      <c r="Y18" s="104"/>
      <c r="AE18" s="175"/>
      <c r="AF18" s="96"/>
      <c r="AG18" s="96"/>
      <c r="AH18" s="96"/>
      <c r="AI18" s="96"/>
      <c r="AJ18" s="125"/>
      <c r="AK18" s="175"/>
      <c r="AL18" s="175"/>
      <c r="AM18" s="175"/>
      <c r="AN18" s="175"/>
      <c r="AO18" s="175"/>
      <c r="AP18" s="96"/>
      <c r="AQ18" s="96"/>
      <c r="AR18" s="96"/>
      <c r="AS18" s="96"/>
      <c r="AT18" s="96"/>
    </row>
    <row r="19" spans="1:46" x14ac:dyDescent="0.25">
      <c r="A19" s="104"/>
      <c r="B19" s="105" t="s">
        <v>203</v>
      </c>
      <c r="C19" s="104">
        <v>8.9374370574951172</v>
      </c>
      <c r="D19" s="104">
        <v>9.087153434753418</v>
      </c>
      <c r="E19" s="104">
        <f t="shared" ref="E19:E24" si="8">AVERAGE(C19:D19)</f>
        <v>9.0122952461242676</v>
      </c>
      <c r="F19" s="104"/>
      <c r="G19" s="105" t="s">
        <v>203</v>
      </c>
      <c r="H19" s="138">
        <v>19.397865295410099</v>
      </c>
      <c r="I19" s="138">
        <v>19.879711151123001</v>
      </c>
      <c r="J19" s="138">
        <f t="shared" ref="J19:J24" si="9">AVERAGE(H19:I19)</f>
        <v>19.638788223266552</v>
      </c>
      <c r="M19" s="104"/>
      <c r="N19" s="104"/>
      <c r="Q19" s="105" t="s">
        <v>203</v>
      </c>
      <c r="R19" s="138">
        <v>8.9374370574951172</v>
      </c>
      <c r="S19" s="138">
        <v>9.087153434753418</v>
      </c>
      <c r="T19" s="138">
        <f t="shared" ref="T19:T24" si="10">AVERAGE(R19:S19)</f>
        <v>9.0122952461242676</v>
      </c>
      <c r="U19" s="104"/>
      <c r="V19" s="105" t="s">
        <v>203</v>
      </c>
      <c r="W19" s="104">
        <v>20.93226432800293</v>
      </c>
      <c r="X19" s="104">
        <v>21.007518768310547</v>
      </c>
      <c r="Y19" s="104">
        <f t="shared" ref="Y19:Y24" si="11">AVERAGE(W19:X19)</f>
        <v>20.969891548156738</v>
      </c>
      <c r="AE19" s="175"/>
      <c r="AF19" s="96"/>
      <c r="AG19" s="96"/>
      <c r="AH19" s="96"/>
      <c r="AI19" s="96"/>
      <c r="AJ19" s="125"/>
      <c r="AK19" s="175"/>
      <c r="AL19" s="175"/>
      <c r="AM19" s="175"/>
      <c r="AN19" s="175"/>
      <c r="AO19" s="175"/>
      <c r="AP19" s="96"/>
      <c r="AQ19" s="96"/>
      <c r="AR19" s="96"/>
      <c r="AS19" s="96"/>
      <c r="AT19" s="96"/>
    </row>
    <row r="20" spans="1:46" x14ac:dyDescent="0.25">
      <c r="A20" s="104"/>
      <c r="B20" s="105" t="s">
        <v>204</v>
      </c>
      <c r="C20" s="104">
        <v>8.2236204147337997</v>
      </c>
      <c r="D20" s="104">
        <v>8.1324644088745099</v>
      </c>
      <c r="E20" s="104">
        <f t="shared" si="8"/>
        <v>8.1780424118041548</v>
      </c>
      <c r="F20" s="104"/>
      <c r="G20" s="105" t="s">
        <v>204</v>
      </c>
      <c r="H20" s="138">
        <v>19.159126281738281</v>
      </c>
      <c r="I20" s="138">
        <v>18.823101043701172</v>
      </c>
      <c r="J20" s="138">
        <f t="shared" si="9"/>
        <v>18.991113662719727</v>
      </c>
      <c r="M20" s="104"/>
      <c r="N20" s="104"/>
      <c r="Q20" s="105" t="s">
        <v>204</v>
      </c>
      <c r="R20" s="138">
        <v>8.2236204147337997</v>
      </c>
      <c r="S20" s="138">
        <v>8.1324644088745099</v>
      </c>
      <c r="T20" s="138">
        <f t="shared" si="10"/>
        <v>8.1780424118041548</v>
      </c>
      <c r="U20" s="104"/>
      <c r="V20" s="105" t="s">
        <v>204</v>
      </c>
      <c r="W20" s="104">
        <v>21.111515045166016</v>
      </c>
      <c r="X20" s="104">
        <v>21.369861602783203</v>
      </c>
      <c r="Y20" s="104">
        <f t="shared" si="11"/>
        <v>21.240688323974609</v>
      </c>
      <c r="AE20" s="175"/>
      <c r="AF20" s="96"/>
      <c r="AG20" s="96"/>
      <c r="AH20" s="96"/>
      <c r="AI20" s="96"/>
      <c r="AJ20" s="125"/>
      <c r="AK20" s="175"/>
      <c r="AL20" s="175"/>
      <c r="AM20" s="175"/>
      <c r="AN20" s="175"/>
      <c r="AO20" s="175"/>
      <c r="AP20" s="96"/>
      <c r="AQ20" s="96"/>
      <c r="AR20" s="96"/>
      <c r="AS20" s="96"/>
      <c r="AT20" s="96"/>
    </row>
    <row r="21" spans="1:46" x14ac:dyDescent="0.25">
      <c r="A21" s="104"/>
      <c r="B21" s="105" t="s">
        <v>205</v>
      </c>
      <c r="C21" s="104">
        <v>7.0790491104125977</v>
      </c>
      <c r="D21" s="104">
        <v>7.2612695693969727</v>
      </c>
      <c r="E21" s="104">
        <f t="shared" si="8"/>
        <v>7.1701593399047852</v>
      </c>
      <c r="F21" s="104"/>
      <c r="G21" s="105" t="s">
        <v>205</v>
      </c>
      <c r="H21" s="138">
        <v>17.199617385864258</v>
      </c>
      <c r="I21" s="138">
        <v>19.132900238037109</v>
      </c>
      <c r="J21" s="138">
        <f t="shared" si="9"/>
        <v>18.166258811950684</v>
      </c>
      <c r="M21" s="104"/>
      <c r="N21" s="104"/>
      <c r="Q21" s="105" t="s">
        <v>205</v>
      </c>
      <c r="R21" s="138">
        <v>7.0790491104125977</v>
      </c>
      <c r="S21" s="138">
        <v>7.2612695693969727</v>
      </c>
      <c r="T21" s="138">
        <f t="shared" si="10"/>
        <v>7.1701593399047852</v>
      </c>
      <c r="U21" s="104"/>
      <c r="V21" s="105" t="s">
        <v>205</v>
      </c>
      <c r="W21" s="104">
        <v>21.529802322387695</v>
      </c>
      <c r="X21" s="104">
        <v>19.480302810668945</v>
      </c>
      <c r="Y21" s="104">
        <f t="shared" si="11"/>
        <v>20.50505256652832</v>
      </c>
      <c r="AE21" s="175"/>
      <c r="AF21" s="96"/>
      <c r="AG21" s="96"/>
      <c r="AH21" s="96"/>
      <c r="AI21" s="96"/>
      <c r="AJ21" s="125"/>
      <c r="AK21" s="175"/>
      <c r="AL21" s="175"/>
      <c r="AM21" s="175"/>
      <c r="AN21" s="175"/>
      <c r="AO21" s="175"/>
      <c r="AP21" s="96"/>
      <c r="AQ21" s="96"/>
      <c r="AR21" s="96"/>
      <c r="AS21" s="96"/>
      <c r="AT21" s="96"/>
    </row>
    <row r="22" spans="1:46" x14ac:dyDescent="0.25">
      <c r="A22" s="104"/>
      <c r="B22" s="105" t="s">
        <v>206</v>
      </c>
      <c r="C22" s="104">
        <v>8.6000490188598633</v>
      </c>
      <c r="D22" s="104">
        <v>7.2594542503356898</v>
      </c>
      <c r="E22" s="104">
        <f t="shared" si="8"/>
        <v>7.9297516345977765</v>
      </c>
      <c r="F22" s="104"/>
      <c r="G22" s="105" t="s">
        <v>206</v>
      </c>
      <c r="H22" s="138">
        <v>19.090816497802734</v>
      </c>
      <c r="I22" s="138">
        <v>19.08973503112793</v>
      </c>
      <c r="J22" s="138">
        <f t="shared" si="9"/>
        <v>19.090275764465332</v>
      </c>
      <c r="M22" s="104"/>
      <c r="N22" s="104"/>
      <c r="Q22" s="105" t="s">
        <v>206</v>
      </c>
      <c r="R22" s="138">
        <v>8.6000490188598633</v>
      </c>
      <c r="S22" s="138">
        <v>7.2594542503356898</v>
      </c>
      <c r="T22" s="138">
        <f t="shared" si="10"/>
        <v>7.9297516345977765</v>
      </c>
      <c r="U22" s="104"/>
      <c r="V22" s="105" t="s">
        <v>206</v>
      </c>
      <c r="W22" s="104">
        <v>21.059370040893555</v>
      </c>
      <c r="X22" s="104">
        <v>20.744638442993164</v>
      </c>
      <c r="Y22" s="104">
        <f t="shared" si="11"/>
        <v>20.902004241943359</v>
      </c>
      <c r="AE22" s="175"/>
      <c r="AF22" s="96"/>
      <c r="AG22" s="96"/>
      <c r="AH22" s="96"/>
      <c r="AI22" s="96"/>
      <c r="AJ22" s="125"/>
      <c r="AK22" s="175"/>
      <c r="AL22" s="175"/>
      <c r="AM22" s="175"/>
      <c r="AN22" s="175"/>
      <c r="AO22" s="175"/>
      <c r="AP22" s="96"/>
      <c r="AQ22" s="96"/>
      <c r="AR22" s="96"/>
      <c r="AS22" s="96"/>
      <c r="AT22" s="96"/>
    </row>
    <row r="23" spans="1:46" x14ac:dyDescent="0.25">
      <c r="A23" s="104"/>
      <c r="B23" s="105" t="s">
        <v>207</v>
      </c>
      <c r="C23" s="104">
        <v>9.3244466781616211</v>
      </c>
      <c r="D23" s="104">
        <v>9.3396511077880806</v>
      </c>
      <c r="E23" s="104">
        <f t="shared" si="8"/>
        <v>9.33204889297485</v>
      </c>
      <c r="F23" s="104"/>
      <c r="G23" s="105" t="s">
        <v>207</v>
      </c>
      <c r="H23" s="138">
        <v>20.701892852783203</v>
      </c>
      <c r="I23" s="138">
        <v>19.298175811767578</v>
      </c>
      <c r="J23" s="138">
        <f t="shared" si="9"/>
        <v>20.000034332275391</v>
      </c>
      <c r="M23" s="104"/>
      <c r="N23" s="104"/>
      <c r="Q23" s="105" t="s">
        <v>207</v>
      </c>
      <c r="R23" s="138">
        <v>9.3244466781616211</v>
      </c>
      <c r="S23" s="138">
        <v>9.3396511077880806</v>
      </c>
      <c r="T23" s="138">
        <f t="shared" si="10"/>
        <v>9.33204889297485</v>
      </c>
      <c r="U23" s="104"/>
      <c r="V23" s="105" t="s">
        <v>207</v>
      </c>
      <c r="W23" s="104">
        <v>21.38060188293457</v>
      </c>
      <c r="X23" s="104">
        <v>22.781383514404297</v>
      </c>
      <c r="Y23" s="104">
        <f t="shared" si="11"/>
        <v>22.080992698669434</v>
      </c>
      <c r="AE23" s="175"/>
      <c r="AF23" s="96"/>
      <c r="AG23" s="96"/>
      <c r="AH23" s="96"/>
      <c r="AI23" s="96"/>
      <c r="AJ23" s="125"/>
      <c r="AK23" s="175"/>
      <c r="AL23" s="175"/>
      <c r="AM23" s="175"/>
      <c r="AN23" s="175"/>
      <c r="AO23" s="175"/>
      <c r="AP23" s="96"/>
      <c r="AQ23" s="96"/>
      <c r="AR23" s="96"/>
      <c r="AS23" s="96"/>
      <c r="AT23" s="96"/>
    </row>
    <row r="24" spans="1:46" x14ac:dyDescent="0.25">
      <c r="A24" s="104"/>
      <c r="B24" s="105" t="s">
        <v>208</v>
      </c>
      <c r="C24" s="104">
        <v>9.7995090484619141</v>
      </c>
      <c r="D24" s="104">
        <v>9.3855018615722656</v>
      </c>
      <c r="E24" s="104">
        <f t="shared" si="8"/>
        <v>9.5925054550170898</v>
      </c>
      <c r="F24" s="104"/>
      <c r="G24" s="105" t="s">
        <v>208</v>
      </c>
      <c r="H24" s="138">
        <v>20.096071243286101</v>
      </c>
      <c r="I24" s="138">
        <v>20.0033779144287</v>
      </c>
      <c r="J24" s="138">
        <f t="shared" si="9"/>
        <v>20.049724578857401</v>
      </c>
      <c r="M24" s="104"/>
      <c r="N24" s="104"/>
      <c r="Q24" s="105" t="s">
        <v>208</v>
      </c>
      <c r="R24" s="138">
        <v>9.7995090484619141</v>
      </c>
      <c r="S24" s="138">
        <v>9.3855018615722656</v>
      </c>
      <c r="T24" s="138">
        <f t="shared" si="10"/>
        <v>9.5925054550170898</v>
      </c>
      <c r="U24" s="104"/>
      <c r="V24" s="105" t="s">
        <v>208</v>
      </c>
      <c r="W24" s="104">
        <v>21.629945755004883</v>
      </c>
      <c r="X24" s="104">
        <v>21.676343917846602</v>
      </c>
      <c r="Y24" s="104">
        <f t="shared" si="11"/>
        <v>21.653144836425742</v>
      </c>
      <c r="AE24" s="175"/>
      <c r="AF24" s="96"/>
      <c r="AG24" s="96"/>
      <c r="AH24" s="96"/>
      <c r="AI24" s="96"/>
      <c r="AJ24" s="125"/>
      <c r="AK24" s="175"/>
      <c r="AL24" s="175"/>
      <c r="AM24" s="175"/>
      <c r="AN24" s="175"/>
      <c r="AO24" s="175"/>
      <c r="AP24" s="96"/>
      <c r="AQ24" s="96"/>
      <c r="AR24" s="96"/>
      <c r="AS24" s="96"/>
      <c r="AT24" s="96"/>
    </row>
    <row r="25" spans="1:46" x14ac:dyDescent="0.25">
      <c r="A25" s="104"/>
      <c r="B25" s="104"/>
      <c r="C25" s="104"/>
      <c r="D25" s="104"/>
      <c r="E25" s="104"/>
      <c r="F25" s="104"/>
      <c r="G25" s="138"/>
      <c r="H25" s="138"/>
      <c r="I25" s="138"/>
      <c r="J25" s="138"/>
      <c r="M25" s="104"/>
      <c r="N25" s="104"/>
      <c r="Q25" s="138"/>
      <c r="R25" s="138"/>
      <c r="S25" s="138"/>
      <c r="T25" s="138"/>
      <c r="U25" s="104"/>
      <c r="V25" s="104"/>
      <c r="W25" s="104"/>
      <c r="X25" s="104"/>
      <c r="Y25" s="104"/>
      <c r="AE25" s="175"/>
      <c r="AF25" s="96"/>
      <c r="AG25" s="96"/>
      <c r="AH25" s="96"/>
      <c r="AI25" s="96"/>
      <c r="AJ25" s="125"/>
      <c r="AK25" s="175"/>
      <c r="AL25" s="175"/>
      <c r="AM25" s="175"/>
      <c r="AN25" s="175"/>
      <c r="AO25" s="175"/>
      <c r="AP25" s="96"/>
      <c r="AQ25" s="96"/>
      <c r="AR25" s="96"/>
      <c r="AS25" s="96"/>
      <c r="AT25" s="96"/>
    </row>
    <row r="26" spans="1:46" x14ac:dyDescent="0.25">
      <c r="A26" s="104"/>
      <c r="B26" s="104"/>
      <c r="C26" s="104"/>
      <c r="D26" s="104"/>
      <c r="E26" s="104"/>
      <c r="F26" s="104"/>
      <c r="G26" s="138"/>
      <c r="H26" s="138"/>
      <c r="I26" s="138"/>
      <c r="J26" s="138"/>
      <c r="M26" s="104"/>
      <c r="N26" s="104"/>
      <c r="Q26" s="138"/>
      <c r="R26" s="138"/>
      <c r="S26" s="138"/>
      <c r="T26" s="138"/>
      <c r="U26" s="104"/>
      <c r="V26" s="104"/>
      <c r="W26" s="104"/>
      <c r="X26" s="104"/>
      <c r="Y26" s="104"/>
      <c r="AE26" s="175"/>
      <c r="AF26" s="96"/>
      <c r="AG26" s="96"/>
      <c r="AH26" s="96"/>
      <c r="AI26" s="96"/>
      <c r="AJ26" s="125"/>
      <c r="AK26" s="175"/>
      <c r="AL26" s="175"/>
      <c r="AM26" s="175"/>
      <c r="AN26" s="175"/>
      <c r="AO26" s="175"/>
      <c r="AP26" s="96"/>
      <c r="AQ26" s="96"/>
      <c r="AR26" s="96"/>
      <c r="AS26" s="96"/>
      <c r="AT26" s="96"/>
    </row>
    <row r="27" spans="1:46" x14ac:dyDescent="0.25">
      <c r="A27" s="104"/>
      <c r="B27" s="104" t="s">
        <v>209</v>
      </c>
      <c r="C27" s="104">
        <v>9.2027912139891992</v>
      </c>
      <c r="D27" s="104">
        <v>10.5992212295532</v>
      </c>
      <c r="E27" s="104">
        <f t="shared" ref="E27:E32" si="12">AVERAGE(C27:D27)</f>
        <v>9.9010062217711994</v>
      </c>
      <c r="F27" s="104"/>
      <c r="G27" s="138" t="s">
        <v>209</v>
      </c>
      <c r="H27" s="138">
        <v>20.530351638793945</v>
      </c>
      <c r="I27" s="138">
        <v>21.156558990478516</v>
      </c>
      <c r="J27" s="138">
        <f t="shared" ref="J27:J32" si="13">AVERAGE(H27:I27)</f>
        <v>20.84345531463623</v>
      </c>
      <c r="M27" s="104"/>
      <c r="N27" s="104"/>
      <c r="Q27" s="104" t="s">
        <v>209</v>
      </c>
      <c r="R27" s="104">
        <v>9.2027912139891992</v>
      </c>
      <c r="S27" s="104">
        <v>10.5992212295532</v>
      </c>
      <c r="T27" s="104">
        <f t="shared" ref="T27:T32" si="14">AVERAGE(R27:S27)</f>
        <v>9.9010062217711994</v>
      </c>
      <c r="U27" s="104"/>
      <c r="V27" s="104" t="s">
        <v>209</v>
      </c>
      <c r="W27" s="104">
        <v>21.681947708129883</v>
      </c>
      <c r="X27" s="104">
        <v>21.750516891479492</v>
      </c>
      <c r="Y27" s="104">
        <f t="shared" ref="Y27:Y32" si="15">AVERAGE(W27:X27)</f>
        <v>21.716232299804688</v>
      </c>
      <c r="AE27" s="175"/>
      <c r="AF27" s="96"/>
      <c r="AG27" s="96"/>
      <c r="AH27" s="96"/>
      <c r="AI27" s="96"/>
      <c r="AJ27" s="125"/>
      <c r="AK27" s="175"/>
      <c r="AL27" s="175"/>
      <c r="AM27" s="175"/>
      <c r="AN27" s="175"/>
      <c r="AO27" s="175"/>
      <c r="AP27" s="96"/>
      <c r="AQ27" s="96"/>
      <c r="AR27" s="96"/>
      <c r="AS27" s="96"/>
      <c r="AT27" s="96"/>
    </row>
    <row r="28" spans="1:46" x14ac:dyDescent="0.25">
      <c r="A28" s="104"/>
      <c r="B28" s="104" t="s">
        <v>210</v>
      </c>
      <c r="C28" s="104">
        <v>9.1503095626831055</v>
      </c>
      <c r="D28" s="104">
        <v>9.1300382614135742</v>
      </c>
      <c r="E28" s="104">
        <f t="shared" si="12"/>
        <v>9.1401739120483398</v>
      </c>
      <c r="F28" s="104"/>
      <c r="G28" s="138" t="s">
        <v>210</v>
      </c>
      <c r="H28" s="138">
        <v>19.361007690429688</v>
      </c>
      <c r="I28" s="138">
        <v>19.763500213623047</v>
      </c>
      <c r="J28" s="138">
        <f t="shared" si="13"/>
        <v>19.562253952026367</v>
      </c>
      <c r="M28" s="104"/>
      <c r="N28" s="104"/>
      <c r="Q28" s="104" t="s">
        <v>210</v>
      </c>
      <c r="R28" s="104">
        <v>9.1503095626831055</v>
      </c>
      <c r="S28" s="104">
        <v>9.1300382614135742</v>
      </c>
      <c r="T28" s="104">
        <f t="shared" si="14"/>
        <v>9.1401739120483398</v>
      </c>
      <c r="U28" s="104"/>
      <c r="V28" s="104" t="s">
        <v>210</v>
      </c>
      <c r="W28" s="104">
        <v>23.219926834106445</v>
      </c>
      <c r="X28" s="104">
        <v>23.791913986206055</v>
      </c>
      <c r="Y28" s="104">
        <f t="shared" si="15"/>
        <v>23.50592041015625</v>
      </c>
      <c r="AE28" s="175"/>
      <c r="AF28" s="96"/>
      <c r="AG28" s="96"/>
      <c r="AH28" s="96"/>
      <c r="AI28" s="96"/>
      <c r="AJ28" s="125"/>
      <c r="AK28" s="175"/>
      <c r="AL28" s="175"/>
      <c r="AM28" s="175"/>
      <c r="AN28" s="175"/>
      <c r="AO28" s="175"/>
      <c r="AP28" s="96"/>
      <c r="AQ28" s="96"/>
      <c r="AR28" s="96"/>
      <c r="AS28" s="96"/>
      <c r="AT28" s="96"/>
    </row>
    <row r="29" spans="1:46" x14ac:dyDescent="0.25">
      <c r="A29" s="104"/>
      <c r="B29" s="104" t="s">
        <v>211</v>
      </c>
      <c r="C29" s="104">
        <v>9.1603994369506001</v>
      </c>
      <c r="D29" s="104">
        <v>9.7818717956541992</v>
      </c>
      <c r="E29" s="104">
        <f t="shared" si="12"/>
        <v>9.4711356163023996</v>
      </c>
      <c r="F29" s="104"/>
      <c r="G29" s="138" t="s">
        <v>211</v>
      </c>
      <c r="H29" s="138">
        <v>20.732076644897461</v>
      </c>
      <c r="I29" s="138">
        <v>19.020458221435547</v>
      </c>
      <c r="J29" s="138">
        <f t="shared" si="13"/>
        <v>19.876267433166504</v>
      </c>
      <c r="M29" s="104"/>
      <c r="N29" s="104"/>
      <c r="Q29" s="104" t="s">
        <v>211</v>
      </c>
      <c r="R29" s="104">
        <v>9.1603994369506001</v>
      </c>
      <c r="S29" s="104">
        <v>9.7818717956541992</v>
      </c>
      <c r="T29" s="104">
        <f t="shared" si="14"/>
        <v>9.4711356163023996</v>
      </c>
      <c r="U29" s="104"/>
      <c r="V29" s="104" t="s">
        <v>211</v>
      </c>
      <c r="W29" s="104">
        <v>22.8599853515625</v>
      </c>
      <c r="X29" s="104">
        <v>22.833591461181641</v>
      </c>
      <c r="Y29" s="104">
        <f t="shared" si="15"/>
        <v>22.84678840637207</v>
      </c>
      <c r="AE29" s="175"/>
      <c r="AF29" s="96"/>
      <c r="AG29" s="96"/>
      <c r="AH29" s="96"/>
      <c r="AI29" s="96"/>
      <c r="AJ29" s="125"/>
      <c r="AK29" s="175"/>
      <c r="AL29" s="175"/>
      <c r="AM29" s="175"/>
      <c r="AN29" s="175"/>
      <c r="AO29" s="175"/>
      <c r="AP29" s="96"/>
      <c r="AQ29" s="96"/>
      <c r="AR29" s="96"/>
      <c r="AS29" s="96"/>
      <c r="AT29" s="96"/>
    </row>
    <row r="30" spans="1:46" x14ac:dyDescent="0.25">
      <c r="A30" s="104"/>
      <c r="B30" s="104" t="s">
        <v>212</v>
      </c>
      <c r="C30" s="104">
        <v>10.509775161743164</v>
      </c>
      <c r="D30" s="104">
        <v>10.4465742111206</v>
      </c>
      <c r="E30" s="104">
        <f t="shared" si="12"/>
        <v>10.478174686431881</v>
      </c>
      <c r="F30" s="104"/>
      <c r="G30" s="138" t="s">
        <v>212</v>
      </c>
      <c r="H30" s="138">
        <v>21.280986785888672</v>
      </c>
      <c r="I30" s="138">
        <v>20.440824508666992</v>
      </c>
      <c r="J30" s="138">
        <f t="shared" si="13"/>
        <v>20.860905647277832</v>
      </c>
      <c r="M30" s="104"/>
      <c r="N30" s="104"/>
      <c r="Q30" s="104" t="s">
        <v>212</v>
      </c>
      <c r="R30" s="104">
        <v>10.509775161743164</v>
      </c>
      <c r="S30" s="104">
        <v>10.4465742111206</v>
      </c>
      <c r="T30" s="104">
        <f t="shared" si="14"/>
        <v>10.478174686431881</v>
      </c>
      <c r="U30" s="104"/>
      <c r="V30" s="104" t="s">
        <v>212</v>
      </c>
      <c r="W30" s="104">
        <v>23.950063705444336</v>
      </c>
      <c r="X30" s="104">
        <v>23.535989761352539</v>
      </c>
      <c r="Y30" s="104">
        <f t="shared" si="15"/>
        <v>23.743026733398438</v>
      </c>
      <c r="AE30" s="175"/>
      <c r="AF30" s="96"/>
      <c r="AG30" s="96"/>
      <c r="AH30" s="96"/>
      <c r="AI30" s="96"/>
      <c r="AJ30" s="125"/>
      <c r="AK30" s="175"/>
      <c r="AL30" s="175"/>
      <c r="AM30" s="175"/>
      <c r="AN30" s="175"/>
      <c r="AO30" s="175"/>
      <c r="AP30" s="96"/>
      <c r="AQ30" s="96"/>
      <c r="AR30" s="96"/>
      <c r="AS30" s="96"/>
      <c r="AT30" s="96"/>
    </row>
    <row r="31" spans="1:46" x14ac:dyDescent="0.25">
      <c r="A31" s="104"/>
      <c r="B31" s="104" t="s">
        <v>213</v>
      </c>
      <c r="C31" s="104">
        <v>10.2966918945312</v>
      </c>
      <c r="D31" s="104">
        <v>10.546161651611328</v>
      </c>
      <c r="E31" s="104">
        <f t="shared" si="12"/>
        <v>10.421426773071264</v>
      </c>
      <c r="F31" s="104"/>
      <c r="G31" s="138" t="s">
        <v>213</v>
      </c>
      <c r="H31" s="138">
        <v>21.561552047729492</v>
      </c>
      <c r="I31" s="138">
        <v>21.271554946899414</v>
      </c>
      <c r="J31" s="138">
        <f t="shared" si="13"/>
        <v>21.416553497314453</v>
      </c>
      <c r="M31" s="104"/>
      <c r="N31" s="104"/>
      <c r="Q31" s="104" t="s">
        <v>213</v>
      </c>
      <c r="R31" s="104">
        <v>10.2966918945312</v>
      </c>
      <c r="S31" s="104">
        <v>10.546161651611328</v>
      </c>
      <c r="T31" s="104">
        <f t="shared" si="14"/>
        <v>10.421426773071264</v>
      </c>
      <c r="U31" s="104"/>
      <c r="V31" s="104" t="s">
        <v>213</v>
      </c>
      <c r="W31" s="104">
        <v>22.305727005004883</v>
      </c>
      <c r="X31" s="104">
        <v>23.638858795166016</v>
      </c>
      <c r="Y31" s="104">
        <f t="shared" si="15"/>
        <v>22.972292900085449</v>
      </c>
      <c r="AE31" s="175"/>
      <c r="AF31" s="96"/>
      <c r="AG31" s="96"/>
      <c r="AH31" s="96"/>
      <c r="AI31" s="96"/>
      <c r="AJ31" s="125"/>
      <c r="AK31" s="175"/>
      <c r="AL31" s="175"/>
      <c r="AM31" s="175"/>
      <c r="AN31" s="175"/>
      <c r="AO31" s="175"/>
      <c r="AP31" s="96"/>
      <c r="AQ31" s="96"/>
      <c r="AR31" s="96"/>
      <c r="AS31" s="96"/>
      <c r="AT31" s="96"/>
    </row>
    <row r="32" spans="1:46" x14ac:dyDescent="0.25">
      <c r="A32" s="104"/>
      <c r="B32" s="104" t="s">
        <v>214</v>
      </c>
      <c r="C32" s="104">
        <v>10.9541358947753</v>
      </c>
      <c r="D32" s="104">
        <v>10.959062576293899</v>
      </c>
      <c r="E32" s="104">
        <f t="shared" si="12"/>
        <v>10.9565992355346</v>
      </c>
      <c r="F32" s="104"/>
      <c r="G32" s="138" t="s">
        <v>214</v>
      </c>
      <c r="H32" s="138">
        <v>22.270092010498001</v>
      </c>
      <c r="I32" s="138">
        <v>21.3077182769775</v>
      </c>
      <c r="J32" s="138">
        <f t="shared" si="13"/>
        <v>21.78890514373775</v>
      </c>
      <c r="M32" s="104"/>
      <c r="N32" s="104"/>
      <c r="Q32" s="104" t="s">
        <v>214</v>
      </c>
      <c r="R32" s="104">
        <v>10.9541358947753</v>
      </c>
      <c r="S32" s="104">
        <v>10.959062576293899</v>
      </c>
      <c r="T32" s="104">
        <f t="shared" si="14"/>
        <v>10.9565992355346</v>
      </c>
      <c r="U32" s="104"/>
      <c r="V32" s="104" t="s">
        <v>214</v>
      </c>
      <c r="W32" s="104">
        <v>22.499467849731399</v>
      </c>
      <c r="X32" s="104">
        <v>21.7352180480957</v>
      </c>
      <c r="Y32" s="104">
        <f t="shared" si="15"/>
        <v>22.117342948913549</v>
      </c>
      <c r="AE32" s="175"/>
      <c r="AF32" s="96"/>
      <c r="AG32" s="96"/>
      <c r="AH32" s="96"/>
      <c r="AI32" s="96"/>
      <c r="AJ32" s="125"/>
      <c r="AK32" s="175"/>
      <c r="AL32" s="175"/>
      <c r="AM32" s="175"/>
      <c r="AN32" s="175"/>
      <c r="AO32" s="175"/>
      <c r="AP32" s="96"/>
      <c r="AQ32" s="96"/>
      <c r="AR32" s="96"/>
      <c r="AS32" s="96"/>
      <c r="AT32" s="96"/>
    </row>
    <row r="33" spans="1:46" x14ac:dyDescent="0.25">
      <c r="A33" s="104"/>
      <c r="B33" s="104"/>
      <c r="C33" s="104"/>
      <c r="D33" s="104"/>
      <c r="E33" s="104"/>
      <c r="F33" s="104"/>
      <c r="G33" s="138"/>
      <c r="H33" s="138"/>
      <c r="I33" s="138"/>
      <c r="J33" s="138"/>
      <c r="M33" s="104"/>
      <c r="N33" s="104"/>
      <c r="Q33" s="104"/>
      <c r="R33" s="104"/>
      <c r="S33" s="104"/>
      <c r="T33" s="104"/>
      <c r="U33" s="104"/>
      <c r="V33" s="104"/>
      <c r="W33" s="104"/>
      <c r="X33" s="104"/>
      <c r="Y33" s="104"/>
      <c r="AE33" s="175"/>
      <c r="AF33" s="96"/>
      <c r="AG33" s="96"/>
      <c r="AH33" s="96"/>
      <c r="AI33" s="96"/>
      <c r="AJ33" s="125"/>
      <c r="AK33" s="175"/>
      <c r="AL33" s="175"/>
      <c r="AM33" s="175"/>
      <c r="AN33" s="175"/>
      <c r="AO33" s="175"/>
      <c r="AP33" s="96"/>
      <c r="AQ33" s="96"/>
      <c r="AR33" s="96"/>
      <c r="AS33" s="96"/>
      <c r="AT33" s="96"/>
    </row>
    <row r="34" spans="1:46" x14ac:dyDescent="0.25">
      <c r="A34" s="104"/>
      <c r="B34" s="104" t="s">
        <v>215</v>
      </c>
      <c r="C34" s="104">
        <v>9.9180011749266992</v>
      </c>
      <c r="D34" s="104">
        <v>9.5029296875</v>
      </c>
      <c r="E34" s="104">
        <f t="shared" ref="E34:E39" si="16">AVERAGE(C34:D34)</f>
        <v>9.7104654312133505</v>
      </c>
      <c r="F34" s="104"/>
      <c r="G34" s="138" t="s">
        <v>215</v>
      </c>
      <c r="H34" s="138">
        <v>20.3370857238769</v>
      </c>
      <c r="I34" s="138">
        <v>20.088146209716701</v>
      </c>
      <c r="J34" s="138">
        <f t="shared" ref="J34:J39" si="17">AVERAGE(H34:I34)</f>
        <v>20.2126159667968</v>
      </c>
      <c r="M34" s="104"/>
      <c r="N34" s="104"/>
      <c r="Q34" s="104" t="s">
        <v>215</v>
      </c>
      <c r="R34" s="104">
        <v>9.9180011749266992</v>
      </c>
      <c r="S34" s="104">
        <v>9.5029296875</v>
      </c>
      <c r="T34" s="104">
        <f t="shared" ref="T34:T39" si="18">AVERAGE(R34:S34)</f>
        <v>9.7104654312133505</v>
      </c>
      <c r="U34" s="104"/>
      <c r="V34" s="104" t="s">
        <v>215</v>
      </c>
      <c r="W34" s="104">
        <v>22.439112663269</v>
      </c>
      <c r="X34" s="104">
        <v>22.251306533813398</v>
      </c>
      <c r="Y34" s="104">
        <f t="shared" ref="Y34:Y39" si="19">AVERAGE(W34:X34)</f>
        <v>22.345209598541199</v>
      </c>
      <c r="AE34" s="175"/>
      <c r="AF34" s="96"/>
      <c r="AG34" s="96"/>
      <c r="AH34" s="96"/>
      <c r="AI34" s="96"/>
      <c r="AJ34" s="125"/>
      <c r="AK34" s="175"/>
      <c r="AL34" s="175"/>
      <c r="AM34" s="175"/>
      <c r="AN34" s="175"/>
      <c r="AO34" s="175"/>
      <c r="AP34" s="96"/>
      <c r="AQ34" s="96"/>
      <c r="AR34" s="96"/>
      <c r="AS34" s="96"/>
      <c r="AT34" s="96"/>
    </row>
    <row r="35" spans="1:46" x14ac:dyDescent="0.25">
      <c r="A35" s="104"/>
      <c r="B35" s="104" t="s">
        <v>216</v>
      </c>
      <c r="C35" s="104">
        <v>9.2956323623656996</v>
      </c>
      <c r="D35" s="104">
        <v>9.3150444030761008</v>
      </c>
      <c r="E35" s="104">
        <f t="shared" si="16"/>
        <v>9.3053383827209011</v>
      </c>
      <c r="F35" s="104"/>
      <c r="G35" s="138" t="s">
        <v>216</v>
      </c>
      <c r="H35" s="138">
        <v>21.091156005859375</v>
      </c>
      <c r="I35" s="138">
        <v>20.038152694702148</v>
      </c>
      <c r="J35" s="138">
        <f t="shared" si="17"/>
        <v>20.564654350280762</v>
      </c>
      <c r="M35" s="104"/>
      <c r="N35" s="104"/>
      <c r="Q35" s="104" t="s">
        <v>216</v>
      </c>
      <c r="R35" s="104">
        <v>9.2956323623656996</v>
      </c>
      <c r="S35" s="104">
        <v>9.3150444030761008</v>
      </c>
      <c r="T35" s="104">
        <f t="shared" si="18"/>
        <v>9.3053383827209011</v>
      </c>
      <c r="U35" s="104"/>
      <c r="V35" s="104" t="s">
        <v>216</v>
      </c>
      <c r="W35" s="104">
        <v>22.7850837707519</v>
      </c>
      <c r="X35" s="104">
        <v>22.900386810302699</v>
      </c>
      <c r="Y35" s="104">
        <f t="shared" si="19"/>
        <v>22.842735290527301</v>
      </c>
      <c r="AE35" s="175"/>
      <c r="AF35" s="96"/>
      <c r="AG35" s="96"/>
      <c r="AH35" s="96"/>
      <c r="AI35" s="96"/>
      <c r="AJ35" s="125"/>
      <c r="AK35" s="175"/>
      <c r="AL35" s="175"/>
      <c r="AM35" s="175"/>
      <c r="AN35" s="175"/>
      <c r="AO35" s="175"/>
      <c r="AP35" s="96"/>
      <c r="AQ35" s="96"/>
      <c r="AR35" s="96"/>
      <c r="AS35" s="96"/>
      <c r="AT35" s="96"/>
    </row>
    <row r="36" spans="1:46" x14ac:dyDescent="0.25">
      <c r="A36" s="104"/>
      <c r="B36" s="104" t="s">
        <v>217</v>
      </c>
      <c r="C36" s="104">
        <v>7.0352764129638672</v>
      </c>
      <c r="D36" s="104">
        <v>6.4739766120910645</v>
      </c>
      <c r="E36" s="104">
        <f t="shared" si="16"/>
        <v>6.7546265125274658</v>
      </c>
      <c r="F36" s="104"/>
      <c r="G36" s="138" t="s">
        <v>217</v>
      </c>
      <c r="H36" s="138">
        <v>17.729690551757813</v>
      </c>
      <c r="I36" s="138">
        <v>17.781526565551758</v>
      </c>
      <c r="J36" s="138">
        <f t="shared" si="17"/>
        <v>17.755608558654785</v>
      </c>
      <c r="M36" s="104"/>
      <c r="N36" s="104"/>
      <c r="Q36" s="104" t="s">
        <v>217</v>
      </c>
      <c r="R36" s="104">
        <v>7.0352764129638672</v>
      </c>
      <c r="S36" s="104">
        <v>6.4739766120910645</v>
      </c>
      <c r="T36" s="104">
        <f t="shared" si="18"/>
        <v>6.7546265125274658</v>
      </c>
      <c r="U36" s="104"/>
      <c r="V36" s="104" t="s">
        <v>217</v>
      </c>
      <c r="W36" s="104">
        <v>21.420360565185547</v>
      </c>
      <c r="X36" s="104">
        <v>21.728683471679688</v>
      </c>
      <c r="Y36" s="104">
        <f t="shared" si="19"/>
        <v>21.574522018432617</v>
      </c>
      <c r="AE36" s="175"/>
      <c r="AF36" s="96"/>
      <c r="AG36" s="96"/>
      <c r="AH36" s="96"/>
      <c r="AI36" s="96"/>
      <c r="AJ36" s="125"/>
      <c r="AK36" s="175"/>
      <c r="AL36" s="175"/>
      <c r="AM36" s="175"/>
      <c r="AN36" s="175"/>
      <c r="AO36" s="175"/>
      <c r="AP36" s="96"/>
      <c r="AQ36" s="96"/>
      <c r="AR36" s="96"/>
      <c r="AS36" s="96"/>
      <c r="AT36" s="96"/>
    </row>
    <row r="37" spans="1:46" x14ac:dyDescent="0.25">
      <c r="A37" s="104"/>
      <c r="B37" s="104" t="s">
        <v>218</v>
      </c>
      <c r="C37" s="104">
        <v>7.4083714485168457</v>
      </c>
      <c r="D37" s="104">
        <v>7.1922330856323242</v>
      </c>
      <c r="E37" s="104">
        <f t="shared" si="16"/>
        <v>7.300302267074585</v>
      </c>
      <c r="F37" s="104"/>
      <c r="G37" s="138" t="s">
        <v>218</v>
      </c>
      <c r="H37" s="138">
        <v>18.887537002563477</v>
      </c>
      <c r="I37" s="138">
        <v>17.548786163330078</v>
      </c>
      <c r="J37" s="138">
        <f t="shared" si="17"/>
        <v>18.218161582946777</v>
      </c>
      <c r="M37" s="104"/>
      <c r="N37" s="104"/>
      <c r="Q37" s="104" t="s">
        <v>218</v>
      </c>
      <c r="R37" s="104">
        <v>7.4083714485168457</v>
      </c>
      <c r="S37" s="104">
        <v>7.1922330856323242</v>
      </c>
      <c r="T37" s="104">
        <f t="shared" si="18"/>
        <v>7.300302267074585</v>
      </c>
      <c r="U37" s="104"/>
      <c r="V37" s="104" t="s">
        <v>218</v>
      </c>
      <c r="W37" s="104">
        <v>21.354818344116211</v>
      </c>
      <c r="X37" s="104">
        <v>21.523406982421875</v>
      </c>
      <c r="Y37" s="104">
        <f t="shared" si="19"/>
        <v>21.439112663269043</v>
      </c>
      <c r="AE37" s="175"/>
      <c r="AF37" s="96"/>
      <c r="AG37" s="96"/>
      <c r="AH37" s="96"/>
      <c r="AI37" s="96"/>
      <c r="AJ37" s="125"/>
      <c r="AK37" s="175"/>
      <c r="AL37" s="175"/>
      <c r="AM37" s="175"/>
      <c r="AN37" s="175"/>
      <c r="AO37" s="175"/>
      <c r="AP37" s="96"/>
      <c r="AQ37" s="96"/>
      <c r="AR37" s="96"/>
      <c r="AS37" s="96"/>
      <c r="AT37" s="96"/>
    </row>
    <row r="38" spans="1:46" x14ac:dyDescent="0.25">
      <c r="A38" s="104"/>
      <c r="B38" s="104" t="s">
        <v>219</v>
      </c>
      <c r="C38" s="104">
        <v>9.5879535675048793</v>
      </c>
      <c r="D38" s="104">
        <v>9.6487112045287997</v>
      </c>
      <c r="E38" s="104">
        <f t="shared" si="16"/>
        <v>9.6183323860168386</v>
      </c>
      <c r="F38" s="104"/>
      <c r="G38" s="138" t="s">
        <v>219</v>
      </c>
      <c r="H38" s="138">
        <v>19.893077850341701</v>
      </c>
      <c r="I38" s="138">
        <v>19.843278884887599</v>
      </c>
      <c r="J38" s="138">
        <f t="shared" si="17"/>
        <v>19.86817836761465</v>
      </c>
      <c r="M38" s="104"/>
      <c r="N38" s="104"/>
      <c r="Q38" s="104" t="s">
        <v>219</v>
      </c>
      <c r="R38" s="104">
        <v>9.5879535675048793</v>
      </c>
      <c r="S38" s="104">
        <v>9.6487112045287997</v>
      </c>
      <c r="T38" s="104">
        <f t="shared" si="18"/>
        <v>9.6183323860168386</v>
      </c>
      <c r="U38" s="104"/>
      <c r="V38" s="104" t="s">
        <v>219</v>
      </c>
      <c r="W38" s="104">
        <v>22.5527629852294</v>
      </c>
      <c r="X38" s="104">
        <v>22.149885177612301</v>
      </c>
      <c r="Y38" s="104">
        <f t="shared" si="19"/>
        <v>22.351324081420849</v>
      </c>
      <c r="AE38" s="175"/>
      <c r="AF38" s="96"/>
      <c r="AG38" s="96"/>
      <c r="AH38" s="96"/>
      <c r="AI38" s="96"/>
      <c r="AJ38" s="125"/>
      <c r="AK38" s="175"/>
      <c r="AL38" s="175"/>
      <c r="AM38" s="175"/>
      <c r="AN38" s="175"/>
      <c r="AO38" s="175"/>
      <c r="AP38" s="96"/>
      <c r="AQ38" s="96"/>
      <c r="AR38" s="96"/>
      <c r="AS38" s="96"/>
      <c r="AT38" s="96"/>
    </row>
    <row r="39" spans="1:46" x14ac:dyDescent="0.25">
      <c r="A39" s="104"/>
      <c r="B39" s="104" t="s">
        <v>220</v>
      </c>
      <c r="C39" s="104">
        <v>9.9407787322998047</v>
      </c>
      <c r="D39" s="104">
        <v>9.7244720458984375</v>
      </c>
      <c r="E39" s="104">
        <f t="shared" si="16"/>
        <v>9.8326253890991211</v>
      </c>
      <c r="F39" s="104"/>
      <c r="G39" s="138" t="s">
        <v>220</v>
      </c>
      <c r="H39" s="138">
        <v>20.6256809234619</v>
      </c>
      <c r="I39" s="138">
        <v>20.546686172485298</v>
      </c>
      <c r="J39" s="138">
        <f t="shared" si="17"/>
        <v>20.586183547973597</v>
      </c>
      <c r="M39" s="104"/>
      <c r="N39" s="104"/>
      <c r="Q39" s="104" t="s">
        <v>220</v>
      </c>
      <c r="R39" s="104">
        <v>9.9407787322998047</v>
      </c>
      <c r="S39" s="104">
        <v>9.7244720458984375</v>
      </c>
      <c r="T39" s="104">
        <f t="shared" si="18"/>
        <v>9.8326253890991211</v>
      </c>
      <c r="U39" s="104"/>
      <c r="V39" s="104" t="s">
        <v>220</v>
      </c>
      <c r="W39" s="104">
        <v>23.303295135498001</v>
      </c>
      <c r="X39" s="104">
        <v>23.423784255981399</v>
      </c>
      <c r="Y39" s="104">
        <f t="shared" si="19"/>
        <v>23.3635396957397</v>
      </c>
      <c r="AE39" s="175"/>
      <c r="AF39" s="96"/>
      <c r="AG39" s="96"/>
      <c r="AH39" s="96"/>
      <c r="AI39" s="96"/>
      <c r="AJ39" s="125"/>
      <c r="AK39" s="175"/>
      <c r="AL39" s="175"/>
      <c r="AM39" s="175"/>
      <c r="AN39" s="175"/>
      <c r="AO39" s="175"/>
      <c r="AP39" s="96"/>
      <c r="AQ39" s="96"/>
      <c r="AR39" s="96"/>
      <c r="AS39" s="96"/>
      <c r="AT39" s="96"/>
    </row>
    <row r="40" spans="1:46" x14ac:dyDescent="0.25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Q40" s="104"/>
      <c r="R40" s="104"/>
      <c r="S40" s="104"/>
      <c r="T40" s="104"/>
      <c r="AE40" s="175"/>
      <c r="AF40" s="175"/>
      <c r="AG40" s="175"/>
      <c r="AH40" s="175"/>
      <c r="AI40" s="96"/>
      <c r="AJ40" s="125"/>
      <c r="AK40" s="175"/>
      <c r="AL40" s="175"/>
      <c r="AM40" s="175"/>
      <c r="AN40" s="175"/>
      <c r="AO40" s="175"/>
      <c r="AP40" s="175"/>
      <c r="AQ40" s="175"/>
      <c r="AR40" s="175"/>
      <c r="AS40" s="96"/>
      <c r="AT40" s="96"/>
    </row>
    <row r="41" spans="1:46" x14ac:dyDescent="0.25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AE41" s="175"/>
      <c r="AF41" s="175"/>
      <c r="AG41" s="175"/>
      <c r="AH41" s="175"/>
      <c r="AI41" s="96"/>
      <c r="AJ41" s="125"/>
      <c r="AK41" s="175"/>
      <c r="AL41" s="175"/>
      <c r="AM41" s="175"/>
      <c r="AN41" s="175"/>
      <c r="AO41" s="175"/>
      <c r="AP41" s="175"/>
      <c r="AQ41" s="175"/>
      <c r="AR41" s="175"/>
      <c r="AS41" s="96"/>
      <c r="AT41" s="96"/>
    </row>
    <row r="42" spans="1:46" x14ac:dyDescent="0.25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AE42" s="175"/>
      <c r="AF42" s="175"/>
      <c r="AG42" s="175"/>
      <c r="AH42" s="175"/>
      <c r="AI42" s="96"/>
      <c r="AJ42" s="125"/>
      <c r="AK42" s="175"/>
      <c r="AL42" s="175"/>
      <c r="AM42" s="175"/>
      <c r="AN42" s="175"/>
      <c r="AO42" s="175"/>
      <c r="AP42" s="175"/>
      <c r="AQ42" s="175"/>
      <c r="AR42" s="175"/>
      <c r="AS42" s="96"/>
      <c r="AT42" s="96"/>
    </row>
    <row r="43" spans="1:46" x14ac:dyDescent="0.25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AE43" s="175"/>
      <c r="AF43" s="175"/>
      <c r="AG43" s="175"/>
      <c r="AH43" s="175"/>
      <c r="AI43" s="96"/>
      <c r="AJ43" s="125"/>
      <c r="AK43" s="175"/>
      <c r="AL43" s="175"/>
      <c r="AM43" s="175"/>
      <c r="AN43" s="175"/>
      <c r="AO43" s="175"/>
      <c r="AP43" s="175"/>
      <c r="AQ43" s="175"/>
      <c r="AR43" s="175"/>
      <c r="AS43" s="96"/>
      <c r="AT43" s="96"/>
    </row>
    <row r="44" spans="1:46" x14ac:dyDescent="0.25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AE44" s="175"/>
      <c r="AF44" s="175"/>
      <c r="AG44" s="175"/>
      <c r="AH44" s="175"/>
      <c r="AI44" s="96"/>
      <c r="AJ44" s="125"/>
      <c r="AK44" s="175"/>
      <c r="AL44" s="175"/>
      <c r="AM44" s="175"/>
      <c r="AN44" s="175"/>
      <c r="AO44" s="175"/>
      <c r="AP44" s="175"/>
      <c r="AQ44" s="175"/>
      <c r="AR44" s="175"/>
      <c r="AS44" s="96"/>
      <c r="AT44" s="96"/>
    </row>
    <row r="45" spans="1:46" x14ac:dyDescent="0.25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AE45" s="175"/>
      <c r="AF45" s="175"/>
      <c r="AG45" s="175"/>
      <c r="AH45" s="175"/>
      <c r="AI45" s="96"/>
      <c r="AJ45" s="125"/>
      <c r="AK45" s="175"/>
      <c r="AL45" s="175"/>
      <c r="AM45" s="175"/>
      <c r="AN45" s="175"/>
      <c r="AO45" s="175"/>
      <c r="AP45" s="175"/>
      <c r="AQ45" s="175"/>
      <c r="AR45" s="175"/>
      <c r="AS45" s="96"/>
      <c r="AT45" s="96"/>
    </row>
    <row r="46" spans="1:46" x14ac:dyDescent="0.25">
      <c r="A46" s="104"/>
      <c r="M46" s="104"/>
      <c r="N46" s="89"/>
      <c r="O46" s="89"/>
      <c r="P46" s="89"/>
      <c r="Q46" s="89"/>
      <c r="R46" s="89"/>
      <c r="S46" s="90"/>
      <c r="AE46" s="175"/>
      <c r="AF46" s="175"/>
      <c r="AG46" s="175"/>
      <c r="AH46" s="175"/>
      <c r="AI46" s="96"/>
      <c r="AJ46" s="125"/>
      <c r="AK46" s="175"/>
      <c r="AL46" s="175"/>
      <c r="AM46" s="175"/>
      <c r="AN46" s="175"/>
      <c r="AO46" s="175"/>
      <c r="AP46" s="175"/>
      <c r="AQ46" s="175"/>
      <c r="AR46" s="175"/>
      <c r="AS46" s="96"/>
      <c r="AT46" s="96"/>
    </row>
    <row r="47" spans="1:46" x14ac:dyDescent="0.25">
      <c r="A47" s="104"/>
      <c r="M47" s="104"/>
      <c r="N47" s="89"/>
      <c r="O47" s="89"/>
      <c r="P47" s="89"/>
      <c r="Q47" s="89"/>
      <c r="R47" s="89"/>
      <c r="S47" s="90"/>
      <c r="AE47" s="175"/>
      <c r="AF47" s="175"/>
      <c r="AG47" s="175"/>
      <c r="AH47" s="175"/>
      <c r="AI47" s="96"/>
      <c r="AJ47" s="125"/>
      <c r="AK47" s="175"/>
      <c r="AL47" s="175"/>
      <c r="AM47" s="175"/>
      <c r="AN47" s="175"/>
      <c r="AO47" s="175"/>
      <c r="AP47" s="175"/>
      <c r="AQ47" s="175"/>
      <c r="AR47" s="175"/>
      <c r="AS47" s="96"/>
      <c r="AT47" s="96"/>
    </row>
    <row r="48" spans="1:46" x14ac:dyDescent="0.25">
      <c r="A48" s="104"/>
      <c r="M48" s="104"/>
      <c r="N48" s="89"/>
      <c r="O48" s="89"/>
      <c r="P48" s="89"/>
      <c r="Q48" s="89"/>
      <c r="R48" s="89"/>
      <c r="S48" s="90"/>
      <c r="AE48" s="175"/>
      <c r="AF48" s="175"/>
      <c r="AG48" s="175"/>
      <c r="AH48" s="175"/>
      <c r="AI48" s="96"/>
      <c r="AJ48" s="125"/>
      <c r="AK48" s="175"/>
      <c r="AL48" s="175"/>
      <c r="AM48" s="175"/>
      <c r="AN48" s="175"/>
      <c r="AO48" s="175"/>
      <c r="AP48" s="175"/>
      <c r="AQ48" s="175"/>
      <c r="AR48" s="175"/>
      <c r="AS48" s="96"/>
      <c r="AT48" s="96"/>
    </row>
    <row r="49" spans="1:46" x14ac:dyDescent="0.25">
      <c r="A49" s="104"/>
      <c r="M49" s="104"/>
      <c r="N49" s="89"/>
      <c r="O49" s="89"/>
      <c r="P49" s="89"/>
      <c r="Q49" s="89"/>
      <c r="R49" s="89"/>
      <c r="S49" s="90"/>
      <c r="AE49" s="175"/>
      <c r="AF49" s="175"/>
      <c r="AG49" s="175"/>
      <c r="AH49" s="175"/>
      <c r="AI49" s="96"/>
      <c r="AJ49" s="125"/>
      <c r="AK49" s="175"/>
      <c r="AL49" s="175"/>
      <c r="AM49" s="175"/>
      <c r="AN49" s="175"/>
      <c r="AO49" s="175"/>
      <c r="AP49" s="175"/>
      <c r="AQ49" s="175"/>
      <c r="AR49" s="175"/>
      <c r="AS49" s="96"/>
      <c r="AT49" s="96"/>
    </row>
    <row r="50" spans="1:46" x14ac:dyDescent="0.25">
      <c r="A50" s="104"/>
      <c r="M50" s="104"/>
      <c r="N50" s="89"/>
      <c r="O50" s="89"/>
      <c r="P50" s="89"/>
      <c r="Q50" s="89"/>
      <c r="R50" s="89"/>
      <c r="S50" s="90"/>
      <c r="AE50" s="175"/>
      <c r="AF50" s="175"/>
      <c r="AG50" s="175"/>
      <c r="AH50" s="175"/>
      <c r="AI50" s="96"/>
      <c r="AJ50" s="125"/>
      <c r="AK50" s="175"/>
      <c r="AL50" s="175"/>
      <c r="AM50" s="175"/>
      <c r="AN50" s="175"/>
      <c r="AO50" s="175"/>
      <c r="AP50" s="175"/>
      <c r="AQ50" s="175"/>
      <c r="AR50" s="175"/>
      <c r="AS50" s="96"/>
      <c r="AT50" s="96"/>
    </row>
    <row r="51" spans="1:46" x14ac:dyDescent="0.25">
      <c r="A51" s="104"/>
      <c r="M51" s="104"/>
      <c r="N51" s="89"/>
      <c r="O51" s="89"/>
      <c r="P51" s="89"/>
      <c r="Q51" s="89"/>
      <c r="R51" s="89"/>
      <c r="S51" s="90"/>
      <c r="AE51" s="175"/>
      <c r="AF51" s="175"/>
      <c r="AG51" s="175"/>
      <c r="AH51" s="175"/>
      <c r="AI51" s="96"/>
      <c r="AJ51" s="125"/>
      <c r="AK51" s="175"/>
      <c r="AL51" s="175"/>
      <c r="AM51" s="175"/>
      <c r="AN51" s="175"/>
      <c r="AO51" s="175"/>
      <c r="AP51" s="175"/>
      <c r="AQ51" s="175"/>
      <c r="AR51" s="175"/>
      <c r="AS51" s="96"/>
      <c r="AT51" s="96"/>
    </row>
    <row r="52" spans="1:46" x14ac:dyDescent="0.25">
      <c r="A52" s="104"/>
      <c r="M52" s="104"/>
      <c r="N52" s="89"/>
      <c r="O52" s="89"/>
      <c r="P52" s="89"/>
      <c r="Q52" s="89"/>
      <c r="R52" s="89"/>
      <c r="S52" s="90"/>
      <c r="AE52" s="175"/>
      <c r="AF52" s="175"/>
      <c r="AG52" s="175"/>
      <c r="AH52" s="175"/>
      <c r="AI52" s="96"/>
      <c r="AJ52" s="125"/>
      <c r="AK52" s="175"/>
      <c r="AL52" s="175"/>
      <c r="AM52" s="175"/>
      <c r="AN52" s="175"/>
      <c r="AO52" s="175"/>
      <c r="AP52" s="175"/>
      <c r="AQ52" s="175"/>
      <c r="AR52" s="175"/>
      <c r="AS52" s="96"/>
      <c r="AT52" s="96"/>
    </row>
    <row r="53" spans="1:46" x14ac:dyDescent="0.25">
      <c r="A53" s="104"/>
      <c r="M53" s="104"/>
      <c r="N53" s="89"/>
      <c r="O53" s="89"/>
      <c r="P53" s="89"/>
      <c r="Q53" s="89"/>
      <c r="R53" s="89"/>
      <c r="S53" s="90"/>
      <c r="T53" s="90"/>
      <c r="U53" s="90"/>
      <c r="V53" s="90"/>
      <c r="W53" s="90"/>
      <c r="X53" s="90"/>
      <c r="Y53" s="96"/>
      <c r="Z53" s="125"/>
      <c r="AA53" s="175"/>
      <c r="AB53" s="175"/>
      <c r="AC53" s="175"/>
      <c r="AD53" s="175"/>
      <c r="AE53" s="175"/>
      <c r="AF53" s="175"/>
      <c r="AG53" s="175"/>
      <c r="AH53" s="175"/>
      <c r="AI53" s="96"/>
      <c r="AJ53" s="125"/>
      <c r="AK53" s="175"/>
      <c r="AL53" s="175"/>
      <c r="AM53" s="175"/>
      <c r="AN53" s="175"/>
      <c r="AO53" s="175"/>
      <c r="AP53" s="175"/>
      <c r="AQ53" s="175"/>
      <c r="AR53" s="175"/>
      <c r="AS53" s="96"/>
      <c r="AT53" s="96"/>
    </row>
    <row r="54" spans="1:46" x14ac:dyDescent="0.25">
      <c r="A54" s="104"/>
      <c r="M54" s="104"/>
      <c r="N54" s="89"/>
      <c r="O54" s="89"/>
      <c r="P54" s="89"/>
      <c r="Q54" s="89"/>
      <c r="R54" s="89"/>
      <c r="S54" s="90"/>
      <c r="T54" s="90"/>
      <c r="U54" s="90"/>
      <c r="V54" s="90"/>
      <c r="W54" s="90"/>
      <c r="X54" s="90"/>
      <c r="Y54" s="96"/>
      <c r="Z54" s="125"/>
      <c r="AA54" s="175"/>
      <c r="AB54" s="175"/>
      <c r="AC54" s="175"/>
      <c r="AD54" s="175"/>
      <c r="AE54" s="175"/>
      <c r="AF54" s="175"/>
      <c r="AG54" s="175"/>
      <c r="AH54" s="175"/>
      <c r="AI54" s="96"/>
      <c r="AJ54" s="125"/>
      <c r="AK54" s="175"/>
      <c r="AL54" s="175"/>
      <c r="AM54" s="175"/>
      <c r="AN54" s="175"/>
      <c r="AO54" s="175"/>
      <c r="AP54" s="175"/>
      <c r="AQ54" s="175"/>
      <c r="AR54" s="175"/>
      <c r="AS54" s="96"/>
      <c r="AT54" s="96"/>
    </row>
    <row r="55" spans="1:46" x14ac:dyDescent="0.25">
      <c r="A55" s="104"/>
      <c r="M55" s="104"/>
      <c r="N55" s="89"/>
      <c r="O55" s="89"/>
      <c r="P55" s="89"/>
      <c r="Q55" s="89"/>
      <c r="R55" s="89"/>
      <c r="S55" s="90"/>
      <c r="T55" s="90"/>
      <c r="U55" s="90"/>
      <c r="V55" s="90"/>
      <c r="W55" s="90"/>
      <c r="X55" s="90"/>
      <c r="Y55" s="96"/>
      <c r="Z55" s="125"/>
      <c r="AA55" s="175"/>
      <c r="AB55" s="175"/>
      <c r="AC55" s="175"/>
      <c r="AD55" s="175"/>
      <c r="AE55" s="175"/>
      <c r="AF55" s="175"/>
      <c r="AG55" s="175"/>
      <c r="AH55" s="175"/>
      <c r="AI55" s="96"/>
      <c r="AJ55" s="125"/>
      <c r="AK55" s="175"/>
      <c r="AL55" s="175"/>
      <c r="AM55" s="175"/>
      <c r="AN55" s="175"/>
      <c r="AO55" s="175"/>
      <c r="AP55" s="175"/>
      <c r="AQ55" s="175"/>
      <c r="AR55" s="175"/>
      <c r="AS55" s="96"/>
      <c r="AT55" s="96"/>
    </row>
    <row r="56" spans="1:46" x14ac:dyDescent="0.25">
      <c r="A56" s="104"/>
      <c r="M56" s="104"/>
      <c r="N56" s="89"/>
      <c r="O56" s="89"/>
      <c r="P56" s="89"/>
      <c r="Q56" s="89"/>
      <c r="R56" s="89"/>
      <c r="S56" s="90"/>
      <c r="T56" s="90"/>
      <c r="U56" s="90"/>
      <c r="V56" s="90"/>
      <c r="W56" s="90"/>
      <c r="X56" s="90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</row>
    <row r="57" spans="1:46" x14ac:dyDescent="0.25">
      <c r="A57" s="104"/>
      <c r="M57" s="104"/>
      <c r="N57" s="89"/>
      <c r="O57" s="89"/>
      <c r="P57" s="89"/>
      <c r="Q57" s="89"/>
      <c r="R57" s="89"/>
      <c r="S57" s="90"/>
      <c r="T57" s="90"/>
      <c r="U57" s="90"/>
      <c r="V57" s="90"/>
      <c r="W57" s="90"/>
      <c r="X57" s="90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</row>
    <row r="58" spans="1:46" x14ac:dyDescent="0.25">
      <c r="A58" s="104"/>
      <c r="M58" s="104"/>
      <c r="N58" s="89"/>
      <c r="O58" s="89"/>
      <c r="P58" s="89"/>
      <c r="Q58" s="89"/>
      <c r="R58" s="89"/>
      <c r="S58" s="90"/>
      <c r="T58" s="90"/>
      <c r="U58" s="90"/>
      <c r="V58" s="90"/>
      <c r="W58" s="90"/>
      <c r="X58" s="90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</row>
    <row r="59" spans="1:46" x14ac:dyDescent="0.25">
      <c r="A59" s="104"/>
      <c r="M59" s="104"/>
      <c r="N59" s="89"/>
      <c r="O59" s="89"/>
      <c r="P59" s="89"/>
      <c r="Q59" s="89"/>
      <c r="R59" s="89"/>
      <c r="S59" s="90"/>
      <c r="T59" s="90"/>
      <c r="U59" s="90"/>
      <c r="V59" s="90"/>
      <c r="W59" s="90"/>
      <c r="X59" s="90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</row>
    <row r="60" spans="1:46" x14ac:dyDescent="0.25">
      <c r="A60" s="104"/>
      <c r="M60" s="104"/>
      <c r="N60" s="89"/>
      <c r="O60" s="89"/>
      <c r="P60" s="89"/>
      <c r="Q60" s="89"/>
      <c r="R60" s="89"/>
      <c r="S60" s="90"/>
      <c r="T60" s="90"/>
      <c r="U60" s="90"/>
      <c r="V60" s="90"/>
      <c r="W60" s="90"/>
      <c r="X60" s="90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</row>
    <row r="61" spans="1:46" x14ac:dyDescent="0.25">
      <c r="A61" s="104"/>
      <c r="M61" s="104"/>
      <c r="N61" s="89"/>
      <c r="O61" s="89"/>
      <c r="P61" s="89"/>
      <c r="Q61" s="89"/>
      <c r="R61" s="89"/>
      <c r="S61" s="241"/>
      <c r="T61" s="241"/>
      <c r="U61" s="241"/>
      <c r="V61" s="241"/>
      <c r="W61" s="241"/>
      <c r="X61" s="90"/>
      <c r="Y61" s="96"/>
      <c r="Z61" s="275"/>
      <c r="AA61" s="275"/>
      <c r="AB61" s="275"/>
      <c r="AC61" s="275"/>
      <c r="AD61" s="275"/>
      <c r="AE61" s="275"/>
      <c r="AF61" s="275"/>
      <c r="AG61" s="275"/>
      <c r="AH61" s="275"/>
      <c r="AI61" s="96"/>
      <c r="AJ61" s="275"/>
      <c r="AK61" s="275"/>
      <c r="AL61" s="275"/>
      <c r="AM61" s="275"/>
      <c r="AN61" s="275"/>
      <c r="AO61" s="275"/>
      <c r="AP61" s="275"/>
      <c r="AQ61" s="275"/>
      <c r="AR61" s="275"/>
      <c r="AS61" s="96"/>
      <c r="AT61" s="96"/>
    </row>
    <row r="62" spans="1:46" x14ac:dyDescent="0.25">
      <c r="A62" s="104"/>
      <c r="M62" s="104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90"/>
      <c r="Y62" s="90"/>
      <c r="Z62" s="125"/>
      <c r="AA62" s="175"/>
      <c r="AB62" s="175"/>
      <c r="AC62" s="175"/>
      <c r="AD62" s="175"/>
      <c r="AE62" s="175"/>
      <c r="AF62" s="96"/>
      <c r="AG62" s="96"/>
      <c r="AH62" s="96"/>
      <c r="AI62" s="96"/>
      <c r="AJ62" s="125"/>
      <c r="AK62" s="175"/>
      <c r="AL62" s="175"/>
      <c r="AM62" s="175"/>
      <c r="AN62" s="175"/>
      <c r="AO62" s="175"/>
      <c r="AP62" s="96"/>
      <c r="AQ62" s="96"/>
      <c r="AR62" s="96"/>
      <c r="AS62" s="96"/>
    </row>
    <row r="63" spans="1:46" x14ac:dyDescent="0.25">
      <c r="A63" s="104"/>
      <c r="M63" s="104"/>
      <c r="N63" s="89"/>
      <c r="O63" s="89"/>
      <c r="P63" s="89"/>
      <c r="Q63" s="89"/>
      <c r="R63" s="89"/>
      <c r="S63" s="90"/>
      <c r="T63" s="90"/>
      <c r="U63" s="90"/>
      <c r="V63" s="90"/>
      <c r="W63" s="90"/>
      <c r="X63" s="90"/>
      <c r="Y63" s="90"/>
      <c r="Z63" s="125"/>
      <c r="AA63" s="175"/>
      <c r="AB63" s="175"/>
      <c r="AC63" s="175"/>
      <c r="AD63" s="175"/>
      <c r="AE63" s="175"/>
      <c r="AF63" s="96"/>
      <c r="AG63" s="96"/>
      <c r="AH63" s="96"/>
      <c r="AI63" s="96"/>
      <c r="AJ63" s="125"/>
      <c r="AK63" s="175"/>
      <c r="AL63" s="175"/>
      <c r="AM63" s="175"/>
      <c r="AN63" s="175"/>
      <c r="AO63" s="175"/>
      <c r="AP63" s="96"/>
      <c r="AQ63" s="96"/>
      <c r="AR63" s="96"/>
      <c r="AS63" s="96"/>
    </row>
    <row r="64" spans="1:46" x14ac:dyDescent="0.25">
      <c r="A64" s="104"/>
      <c r="M64" s="104"/>
      <c r="N64" s="89"/>
      <c r="O64" s="89"/>
      <c r="P64" s="89"/>
      <c r="Q64" s="89"/>
      <c r="R64" s="89"/>
      <c r="S64" s="90"/>
      <c r="T64" s="90"/>
      <c r="U64" s="90"/>
      <c r="V64" s="90"/>
      <c r="W64" s="90"/>
      <c r="X64" s="90"/>
      <c r="Y64" s="90"/>
      <c r="Z64" s="125"/>
      <c r="AA64" s="175"/>
      <c r="AB64" s="175"/>
      <c r="AC64" s="175"/>
      <c r="AD64" s="175"/>
      <c r="AE64" s="175"/>
      <c r="AF64" s="96"/>
      <c r="AG64" s="96"/>
      <c r="AH64" s="96"/>
      <c r="AI64" s="96"/>
      <c r="AJ64" s="125"/>
      <c r="AK64" s="175"/>
      <c r="AL64" s="175"/>
      <c r="AM64" s="175"/>
      <c r="AN64" s="175"/>
      <c r="AO64" s="175"/>
      <c r="AP64" s="96"/>
      <c r="AQ64" s="96"/>
      <c r="AR64" s="96"/>
      <c r="AS64" s="96"/>
    </row>
    <row r="65" spans="1:45" x14ac:dyDescent="0.25">
      <c r="A65" s="104"/>
      <c r="M65" s="104"/>
      <c r="N65" s="89"/>
      <c r="O65" s="89"/>
      <c r="P65" s="89"/>
      <c r="Q65" s="89"/>
      <c r="R65" s="89"/>
      <c r="S65" s="90"/>
      <c r="T65" s="90"/>
      <c r="U65" s="90"/>
      <c r="V65" s="90"/>
      <c r="W65" s="90"/>
      <c r="X65" s="90"/>
      <c r="Y65" s="90"/>
      <c r="Z65" s="125"/>
      <c r="AA65" s="175"/>
      <c r="AB65" s="175"/>
      <c r="AC65" s="175"/>
      <c r="AD65" s="175"/>
      <c r="AE65" s="175"/>
      <c r="AF65" s="96"/>
      <c r="AG65" s="96"/>
      <c r="AH65" s="96"/>
      <c r="AI65" s="96"/>
      <c r="AJ65" s="125"/>
      <c r="AK65" s="175"/>
      <c r="AL65" s="175"/>
      <c r="AM65" s="175"/>
      <c r="AN65" s="175"/>
      <c r="AO65" s="175"/>
      <c r="AP65" s="96"/>
      <c r="AQ65" s="96"/>
      <c r="AR65" s="96"/>
      <c r="AS65" s="96"/>
    </row>
    <row r="66" spans="1:45" x14ac:dyDescent="0.25">
      <c r="A66" s="104"/>
      <c r="M66" s="104"/>
      <c r="N66" s="89"/>
      <c r="O66" s="89"/>
      <c r="P66" s="89"/>
      <c r="Q66" s="89"/>
      <c r="R66" s="89"/>
      <c r="S66" s="90"/>
      <c r="T66" s="90"/>
      <c r="U66" s="90"/>
      <c r="V66" s="90"/>
      <c r="W66" s="90"/>
      <c r="X66" s="90"/>
      <c r="Y66" s="90"/>
      <c r="Z66" s="125"/>
      <c r="AA66" s="175"/>
      <c r="AB66" s="175"/>
      <c r="AC66" s="175"/>
      <c r="AD66" s="175"/>
      <c r="AE66" s="175"/>
      <c r="AF66" s="96"/>
      <c r="AG66" s="96"/>
      <c r="AH66" s="96"/>
      <c r="AI66" s="96"/>
      <c r="AJ66" s="125"/>
      <c r="AK66" s="175"/>
      <c r="AL66" s="175"/>
      <c r="AM66" s="175"/>
      <c r="AN66" s="175"/>
      <c r="AO66" s="175"/>
      <c r="AP66" s="96"/>
      <c r="AQ66" s="96"/>
      <c r="AR66" s="96"/>
      <c r="AS66" s="96"/>
    </row>
    <row r="67" spans="1:45" x14ac:dyDescent="0.25">
      <c r="A67" s="104"/>
      <c r="M67" s="104"/>
      <c r="N67" s="89"/>
      <c r="O67" s="89"/>
      <c r="P67" s="89"/>
      <c r="Q67" s="89"/>
      <c r="R67" s="89"/>
      <c r="S67" s="90"/>
      <c r="T67" s="90"/>
      <c r="U67" s="90"/>
      <c r="V67" s="90"/>
      <c r="W67" s="90"/>
      <c r="X67" s="90"/>
      <c r="Y67" s="90"/>
      <c r="Z67" s="125"/>
      <c r="AA67" s="175"/>
      <c r="AB67" s="175"/>
      <c r="AC67" s="175"/>
      <c r="AD67" s="175"/>
      <c r="AE67" s="175"/>
      <c r="AF67" s="96"/>
      <c r="AG67" s="96"/>
      <c r="AH67" s="96"/>
      <c r="AI67" s="96"/>
      <c r="AJ67" s="125"/>
      <c r="AK67" s="175"/>
      <c r="AL67" s="175"/>
      <c r="AM67" s="175"/>
      <c r="AN67" s="175"/>
      <c r="AO67" s="175"/>
      <c r="AP67" s="96"/>
      <c r="AQ67" s="96"/>
      <c r="AR67" s="96"/>
      <c r="AS67" s="96"/>
    </row>
    <row r="68" spans="1:45" x14ac:dyDescent="0.25">
      <c r="A68" s="104"/>
      <c r="M68" s="104"/>
      <c r="N68" s="89"/>
      <c r="O68" s="89"/>
      <c r="P68" s="89"/>
      <c r="Q68" s="89"/>
      <c r="R68" s="89"/>
      <c r="S68" s="90"/>
      <c r="T68" s="90"/>
      <c r="U68" s="90"/>
      <c r="V68" s="90"/>
      <c r="W68" s="90"/>
      <c r="X68" s="90"/>
      <c r="Y68" s="90"/>
      <c r="Z68" s="125"/>
      <c r="AA68" s="175"/>
      <c r="AB68" s="175"/>
      <c r="AC68" s="175"/>
      <c r="AD68" s="175"/>
      <c r="AE68" s="175"/>
      <c r="AF68" s="96"/>
      <c r="AG68" s="96"/>
      <c r="AH68" s="96"/>
      <c r="AI68" s="96"/>
      <c r="AJ68" s="125"/>
      <c r="AK68" s="175"/>
      <c r="AL68" s="175"/>
      <c r="AM68" s="175"/>
      <c r="AN68" s="175"/>
      <c r="AO68" s="175"/>
      <c r="AP68" s="96"/>
      <c r="AQ68" s="96"/>
      <c r="AR68" s="96"/>
      <c r="AS68" s="96"/>
    </row>
    <row r="69" spans="1:45" x14ac:dyDescent="0.25">
      <c r="A69" s="104"/>
      <c r="M69" s="104"/>
      <c r="N69" s="89"/>
      <c r="O69" s="89"/>
      <c r="P69" s="89"/>
      <c r="Q69" s="89"/>
      <c r="R69" s="89"/>
      <c r="S69" s="90"/>
      <c r="T69" s="90"/>
      <c r="U69" s="90"/>
      <c r="V69" s="90"/>
      <c r="W69" s="90"/>
      <c r="X69" s="90"/>
      <c r="Y69" s="90"/>
      <c r="Z69" s="125"/>
      <c r="AA69" s="175"/>
      <c r="AB69" s="175"/>
      <c r="AC69" s="175"/>
      <c r="AD69" s="175"/>
      <c r="AE69" s="175"/>
      <c r="AF69" s="96"/>
      <c r="AG69" s="96"/>
      <c r="AH69" s="96"/>
      <c r="AI69" s="96"/>
      <c r="AJ69" s="125"/>
      <c r="AK69" s="175"/>
      <c r="AL69" s="175"/>
      <c r="AM69" s="175"/>
      <c r="AN69" s="175"/>
      <c r="AO69" s="175"/>
      <c r="AP69" s="96"/>
      <c r="AQ69" s="96"/>
      <c r="AR69" s="96"/>
      <c r="AS69" s="96"/>
    </row>
    <row r="70" spans="1:45" x14ac:dyDescent="0.25">
      <c r="A70" s="104"/>
      <c r="M70" s="104"/>
      <c r="N70" s="89"/>
      <c r="O70" s="89"/>
      <c r="P70" s="89"/>
      <c r="Q70" s="89"/>
      <c r="R70" s="89"/>
      <c r="S70" s="90"/>
      <c r="T70" s="90"/>
      <c r="U70" s="90"/>
      <c r="V70" s="90"/>
      <c r="W70" s="90"/>
      <c r="X70" s="90"/>
      <c r="Y70" s="90"/>
      <c r="Z70" s="125"/>
      <c r="AA70" s="175"/>
      <c r="AB70" s="175"/>
      <c r="AC70" s="175"/>
      <c r="AD70" s="175"/>
      <c r="AE70" s="175"/>
      <c r="AF70" s="96"/>
      <c r="AG70" s="96"/>
      <c r="AH70" s="96"/>
      <c r="AI70" s="96"/>
      <c r="AJ70" s="125"/>
      <c r="AK70" s="175"/>
      <c r="AL70" s="175"/>
      <c r="AM70" s="175"/>
      <c r="AN70" s="175"/>
      <c r="AO70" s="175"/>
      <c r="AP70" s="96"/>
      <c r="AQ70" s="96"/>
      <c r="AR70" s="96"/>
      <c r="AS70" s="96"/>
    </row>
    <row r="71" spans="1:45" x14ac:dyDescent="0.25">
      <c r="A71" s="104"/>
      <c r="M71" s="104"/>
      <c r="N71" s="89"/>
      <c r="O71" s="89"/>
      <c r="P71" s="89"/>
      <c r="Q71" s="89"/>
      <c r="R71" s="89"/>
      <c r="S71" s="90"/>
      <c r="T71" s="89"/>
      <c r="U71" s="89"/>
      <c r="V71" s="89"/>
      <c r="W71" s="89"/>
      <c r="X71" s="89"/>
      <c r="Y71" s="90"/>
      <c r="Z71" s="125"/>
      <c r="AA71" s="175"/>
      <c r="AB71" s="175"/>
      <c r="AC71" s="175"/>
      <c r="AD71" s="175"/>
      <c r="AE71" s="175"/>
      <c r="AF71" s="96"/>
      <c r="AG71" s="96"/>
      <c r="AH71" s="96"/>
      <c r="AI71" s="96"/>
      <c r="AJ71" s="125"/>
      <c r="AK71" s="175"/>
      <c r="AL71" s="175"/>
      <c r="AM71" s="175"/>
      <c r="AN71" s="175"/>
      <c r="AO71" s="175"/>
      <c r="AP71" s="96"/>
      <c r="AQ71" s="96"/>
      <c r="AR71" s="96"/>
      <c r="AS71" s="96"/>
    </row>
    <row r="72" spans="1:45" x14ac:dyDescent="0.25">
      <c r="A72" s="104"/>
      <c r="M72" s="104"/>
      <c r="N72" s="89"/>
      <c r="O72" s="89"/>
      <c r="P72" s="89"/>
      <c r="Q72" s="89"/>
      <c r="R72" s="89"/>
      <c r="S72" s="167"/>
      <c r="T72" s="168"/>
      <c r="U72" s="168"/>
      <c r="V72" s="168"/>
      <c r="W72" s="168"/>
      <c r="X72" s="168"/>
      <c r="Y72" s="90"/>
      <c r="Z72" s="125"/>
      <c r="AA72" s="175"/>
      <c r="AB72" s="175"/>
      <c r="AC72" s="175"/>
      <c r="AD72" s="175"/>
      <c r="AE72" s="175"/>
      <c r="AF72" s="96"/>
      <c r="AG72" s="96"/>
      <c r="AH72" s="96"/>
      <c r="AI72" s="96"/>
      <c r="AJ72" s="125"/>
      <c r="AK72" s="175"/>
      <c r="AL72" s="175"/>
      <c r="AM72" s="175"/>
      <c r="AN72" s="175"/>
      <c r="AO72" s="175"/>
      <c r="AP72" s="96"/>
      <c r="AQ72" s="96"/>
      <c r="AR72" s="96"/>
      <c r="AS72" s="96"/>
    </row>
    <row r="73" spans="1:45" x14ac:dyDescent="0.25">
      <c r="A73" s="104"/>
      <c r="M73" s="104"/>
      <c r="N73" s="89"/>
      <c r="O73" s="89"/>
      <c r="P73" s="89"/>
      <c r="Q73" s="89"/>
      <c r="R73" s="89"/>
      <c r="S73" s="167"/>
      <c r="T73" s="168"/>
      <c r="U73" s="168"/>
      <c r="V73" s="168"/>
      <c r="W73" s="168"/>
      <c r="X73" s="168"/>
      <c r="Y73" s="90"/>
      <c r="Z73" s="125"/>
      <c r="AA73" s="175"/>
      <c r="AB73" s="175"/>
      <c r="AC73" s="175"/>
      <c r="AD73" s="175"/>
      <c r="AE73" s="175"/>
      <c r="AF73" s="96"/>
      <c r="AG73" s="96"/>
      <c r="AH73" s="96"/>
      <c r="AI73" s="96"/>
      <c r="AJ73" s="125"/>
      <c r="AK73" s="175"/>
      <c r="AL73" s="175"/>
      <c r="AM73" s="175"/>
      <c r="AN73" s="175"/>
      <c r="AO73" s="175"/>
      <c r="AP73" s="96"/>
      <c r="AQ73" s="96"/>
      <c r="AR73" s="96"/>
      <c r="AS73" s="96"/>
    </row>
    <row r="74" spans="1:45" x14ac:dyDescent="0.25">
      <c r="A74" s="104"/>
      <c r="M74" s="104"/>
      <c r="N74" s="89"/>
      <c r="O74" s="89"/>
      <c r="P74" s="89"/>
      <c r="Q74" s="89"/>
      <c r="R74" s="89"/>
      <c r="S74" s="167"/>
      <c r="T74" s="168"/>
      <c r="U74" s="168"/>
      <c r="V74" s="168"/>
      <c r="W74" s="168"/>
      <c r="X74" s="168"/>
      <c r="Y74" s="90"/>
      <c r="Z74" s="125"/>
      <c r="AA74" s="175"/>
      <c r="AB74" s="175"/>
      <c r="AC74" s="175"/>
      <c r="AD74" s="175"/>
      <c r="AE74" s="175"/>
      <c r="AF74" s="96"/>
      <c r="AG74" s="96"/>
      <c r="AH74" s="96"/>
      <c r="AI74" s="96"/>
      <c r="AJ74" s="125"/>
      <c r="AK74" s="175"/>
      <c r="AL74" s="175"/>
      <c r="AM74" s="175"/>
      <c r="AN74" s="175"/>
      <c r="AO74" s="175"/>
      <c r="AP74" s="96"/>
      <c r="AQ74" s="96"/>
      <c r="AR74" s="96"/>
      <c r="AS74" s="96"/>
    </row>
    <row r="75" spans="1:45" x14ac:dyDescent="0.25">
      <c r="A75" s="104"/>
      <c r="M75" s="104"/>
      <c r="N75" s="89"/>
      <c r="O75" s="89"/>
      <c r="P75" s="89"/>
      <c r="Q75" s="89"/>
      <c r="R75" s="89"/>
      <c r="S75" s="167"/>
      <c r="T75" s="168"/>
      <c r="U75" s="168"/>
      <c r="V75" s="168"/>
      <c r="W75" s="168"/>
      <c r="X75" s="168"/>
      <c r="Y75" s="90"/>
      <c r="Z75" s="125"/>
      <c r="AA75" s="175"/>
      <c r="AB75" s="175"/>
      <c r="AC75" s="175"/>
      <c r="AD75" s="175"/>
      <c r="AE75" s="175"/>
      <c r="AF75" s="96"/>
      <c r="AG75" s="96"/>
      <c r="AH75" s="96"/>
      <c r="AI75" s="96"/>
      <c r="AJ75" s="125"/>
      <c r="AK75" s="175"/>
      <c r="AL75" s="175"/>
      <c r="AM75" s="175"/>
      <c r="AN75" s="175"/>
      <c r="AO75" s="175"/>
      <c r="AP75" s="96"/>
      <c r="AQ75" s="96"/>
      <c r="AR75" s="96"/>
      <c r="AS75" s="96"/>
    </row>
    <row r="76" spans="1:45" x14ac:dyDescent="0.25">
      <c r="A76" s="104"/>
      <c r="M76" s="104"/>
      <c r="N76" s="89"/>
      <c r="O76" s="89"/>
      <c r="P76" s="89"/>
      <c r="Q76" s="89"/>
      <c r="R76" s="89"/>
      <c r="S76" s="167"/>
      <c r="T76" s="168"/>
      <c r="U76" s="168"/>
      <c r="V76" s="168"/>
      <c r="W76" s="168"/>
      <c r="X76" s="168"/>
      <c r="Y76" s="90"/>
      <c r="Z76" s="125"/>
      <c r="AA76" s="175"/>
      <c r="AB76" s="175"/>
      <c r="AC76" s="175"/>
      <c r="AD76" s="175"/>
      <c r="AE76" s="175"/>
      <c r="AF76" s="96"/>
      <c r="AG76" s="96"/>
      <c r="AH76" s="96"/>
      <c r="AI76" s="96"/>
      <c r="AJ76" s="125"/>
      <c r="AK76" s="175"/>
      <c r="AL76" s="175"/>
      <c r="AM76" s="175"/>
      <c r="AN76" s="175"/>
      <c r="AO76" s="175"/>
      <c r="AP76" s="96"/>
      <c r="AQ76" s="96"/>
      <c r="AR76" s="96"/>
      <c r="AS76" s="96"/>
    </row>
    <row r="77" spans="1:45" x14ac:dyDescent="0.25">
      <c r="A77" s="104"/>
      <c r="M77" s="104"/>
      <c r="N77" s="89"/>
      <c r="O77" s="89"/>
      <c r="P77" s="89"/>
      <c r="Q77" s="89"/>
      <c r="R77" s="89"/>
      <c r="S77" s="167"/>
      <c r="T77" s="168"/>
      <c r="U77" s="168"/>
      <c r="V77" s="168"/>
      <c r="W77" s="168"/>
      <c r="X77" s="168"/>
      <c r="Y77" s="90"/>
      <c r="Z77" s="125"/>
      <c r="AA77" s="175"/>
      <c r="AB77" s="175"/>
      <c r="AC77" s="175"/>
      <c r="AD77" s="175"/>
      <c r="AE77" s="175"/>
      <c r="AF77" s="96"/>
      <c r="AG77" s="96"/>
      <c r="AH77" s="96"/>
      <c r="AI77" s="96"/>
      <c r="AJ77" s="125"/>
      <c r="AK77" s="175"/>
      <c r="AL77" s="175"/>
      <c r="AM77" s="175"/>
      <c r="AN77" s="175"/>
      <c r="AO77" s="175"/>
      <c r="AP77" s="96"/>
      <c r="AQ77" s="96"/>
      <c r="AR77" s="96"/>
      <c r="AS77" s="96"/>
    </row>
    <row r="78" spans="1:45" x14ac:dyDescent="0.25">
      <c r="A78" s="104"/>
      <c r="M78" s="104"/>
      <c r="N78" s="89"/>
      <c r="O78" s="89"/>
      <c r="P78" s="89"/>
      <c r="Q78" s="89"/>
      <c r="R78" s="89"/>
      <c r="S78" s="167"/>
      <c r="T78" s="168"/>
      <c r="U78" s="168"/>
      <c r="V78" s="168"/>
      <c r="W78" s="168"/>
      <c r="X78" s="168"/>
      <c r="Y78" s="90"/>
      <c r="Z78" s="125"/>
      <c r="AA78" s="175"/>
      <c r="AB78" s="175"/>
      <c r="AC78" s="175"/>
      <c r="AD78" s="175"/>
      <c r="AE78" s="175"/>
      <c r="AF78" s="96"/>
      <c r="AG78" s="96"/>
      <c r="AH78" s="96"/>
      <c r="AI78" s="96"/>
      <c r="AJ78" s="125"/>
      <c r="AK78" s="175"/>
      <c r="AL78" s="175"/>
      <c r="AM78" s="175"/>
      <c r="AN78" s="175"/>
      <c r="AO78" s="175"/>
      <c r="AP78" s="96"/>
      <c r="AQ78" s="96"/>
      <c r="AR78" s="96"/>
      <c r="AS78" s="96"/>
    </row>
    <row r="79" spans="1:45" x14ac:dyDescent="0.25">
      <c r="A79" s="104"/>
      <c r="M79" s="104"/>
      <c r="N79" s="89"/>
      <c r="O79" s="89"/>
      <c r="P79" s="89"/>
      <c r="Q79" s="89"/>
      <c r="R79" s="89"/>
      <c r="S79" s="167"/>
      <c r="T79" s="168"/>
      <c r="U79" s="168"/>
      <c r="V79" s="168"/>
      <c r="W79" s="168"/>
      <c r="X79" s="168"/>
      <c r="Y79" s="90"/>
      <c r="Z79" s="125"/>
      <c r="AA79" s="175"/>
      <c r="AB79" s="175"/>
      <c r="AC79" s="175"/>
      <c r="AD79" s="175"/>
      <c r="AE79" s="175"/>
      <c r="AF79" s="96"/>
      <c r="AG79" s="96"/>
      <c r="AH79" s="96"/>
      <c r="AI79" s="96"/>
      <c r="AJ79" s="125"/>
      <c r="AK79" s="175"/>
      <c r="AL79" s="175"/>
      <c r="AM79" s="175"/>
      <c r="AN79" s="175"/>
      <c r="AO79" s="175"/>
      <c r="AP79" s="96"/>
      <c r="AQ79" s="96"/>
      <c r="AR79" s="96"/>
      <c r="AS79" s="96"/>
    </row>
    <row r="80" spans="1:45" x14ac:dyDescent="0.25">
      <c r="A80" s="104"/>
      <c r="M80" s="104"/>
      <c r="N80" s="89"/>
      <c r="O80" s="89"/>
      <c r="P80" s="89"/>
      <c r="Q80" s="89"/>
      <c r="R80" s="89"/>
      <c r="S80" s="167"/>
      <c r="T80" s="168"/>
      <c r="U80" s="168"/>
      <c r="V80" s="168"/>
      <c r="W80" s="168"/>
      <c r="X80" s="168"/>
      <c r="Y80" s="90"/>
      <c r="Z80" s="125"/>
      <c r="AA80" s="175"/>
      <c r="AB80" s="175"/>
      <c r="AC80" s="175"/>
      <c r="AD80" s="175"/>
      <c r="AE80" s="175"/>
      <c r="AF80" s="96"/>
      <c r="AG80" s="96"/>
      <c r="AH80" s="96"/>
      <c r="AI80" s="96"/>
      <c r="AJ80" s="125"/>
      <c r="AK80" s="175"/>
      <c r="AL80" s="175"/>
      <c r="AM80" s="175"/>
      <c r="AN80" s="175"/>
      <c r="AO80" s="175"/>
      <c r="AP80" s="96"/>
      <c r="AQ80" s="96"/>
      <c r="AR80" s="96"/>
      <c r="AS80" s="96"/>
    </row>
    <row r="81" spans="1:45" x14ac:dyDescent="0.25">
      <c r="A81" s="104"/>
      <c r="M81" s="104"/>
      <c r="N81" s="89"/>
      <c r="O81" s="89"/>
      <c r="P81" s="89"/>
      <c r="Q81" s="89"/>
      <c r="R81" s="89"/>
      <c r="S81" s="167"/>
      <c r="T81" s="168"/>
      <c r="U81" s="168"/>
      <c r="V81" s="168"/>
      <c r="W81" s="168"/>
      <c r="X81" s="168"/>
      <c r="Y81" s="90"/>
      <c r="Z81" s="125"/>
      <c r="AA81" s="175"/>
      <c r="AB81" s="175"/>
      <c r="AC81" s="175"/>
      <c r="AD81" s="175"/>
      <c r="AE81" s="175"/>
      <c r="AF81" s="96"/>
      <c r="AG81" s="96"/>
      <c r="AH81" s="96"/>
      <c r="AI81" s="96"/>
      <c r="AJ81" s="125"/>
      <c r="AK81" s="175"/>
      <c r="AL81" s="175"/>
      <c r="AM81" s="175"/>
      <c r="AN81" s="175"/>
      <c r="AO81" s="175"/>
      <c r="AP81" s="96"/>
      <c r="AQ81" s="96"/>
      <c r="AR81" s="96"/>
      <c r="AS81" s="96"/>
    </row>
    <row r="82" spans="1:45" x14ac:dyDescent="0.25">
      <c r="A82" s="104"/>
      <c r="M82" s="104"/>
      <c r="N82" s="89"/>
      <c r="O82" s="89"/>
      <c r="P82" s="89"/>
      <c r="Q82" s="89"/>
      <c r="R82" s="89"/>
      <c r="S82" s="167"/>
      <c r="T82" s="168"/>
      <c r="U82" s="168"/>
      <c r="V82" s="168"/>
      <c r="W82" s="168"/>
      <c r="X82" s="168"/>
      <c r="Y82" s="90"/>
      <c r="Z82" s="125"/>
      <c r="AA82" s="175"/>
      <c r="AB82" s="175"/>
      <c r="AC82" s="175"/>
      <c r="AD82" s="175"/>
      <c r="AE82" s="175"/>
      <c r="AF82" s="96"/>
      <c r="AG82" s="96"/>
      <c r="AH82" s="96"/>
      <c r="AI82" s="96"/>
      <c r="AJ82" s="125"/>
      <c r="AK82" s="175"/>
      <c r="AL82" s="175"/>
      <c r="AM82" s="175"/>
      <c r="AN82" s="175"/>
      <c r="AO82" s="175"/>
      <c r="AP82" s="96"/>
      <c r="AQ82" s="96"/>
      <c r="AR82" s="96"/>
      <c r="AS82" s="96"/>
    </row>
    <row r="83" spans="1:45" x14ac:dyDescent="0.25">
      <c r="A83" s="104"/>
      <c r="M83" s="104"/>
      <c r="N83" s="89"/>
      <c r="O83" s="89"/>
      <c r="P83" s="89"/>
      <c r="Q83" s="89"/>
      <c r="R83" s="89"/>
      <c r="S83" s="167"/>
      <c r="T83" s="168"/>
      <c r="U83" s="168"/>
      <c r="V83" s="168"/>
      <c r="W83" s="168"/>
      <c r="X83" s="168"/>
      <c r="Y83" s="90"/>
      <c r="Z83" s="125"/>
      <c r="AA83" s="175"/>
      <c r="AB83" s="175"/>
      <c r="AC83" s="175"/>
      <c r="AD83" s="175"/>
      <c r="AE83" s="175"/>
      <c r="AF83" s="96"/>
      <c r="AG83" s="96"/>
      <c r="AH83" s="96"/>
      <c r="AI83" s="96"/>
      <c r="AJ83" s="125"/>
      <c r="AK83" s="175"/>
      <c r="AL83" s="175"/>
      <c r="AM83" s="175"/>
      <c r="AN83" s="175"/>
      <c r="AO83" s="175"/>
      <c r="AP83" s="96"/>
      <c r="AQ83" s="96"/>
      <c r="AR83" s="96"/>
      <c r="AS83" s="96"/>
    </row>
    <row r="84" spans="1:45" x14ac:dyDescent="0.25">
      <c r="A84" s="104"/>
      <c r="M84" s="104"/>
      <c r="N84" s="89"/>
      <c r="O84" s="89"/>
      <c r="P84" s="89"/>
      <c r="Q84" s="89"/>
      <c r="R84" s="89"/>
      <c r="S84" s="167"/>
      <c r="T84" s="168"/>
      <c r="U84" s="168"/>
      <c r="V84" s="168"/>
      <c r="W84" s="168"/>
      <c r="X84" s="168"/>
      <c r="Y84" s="90"/>
      <c r="Z84" s="125"/>
      <c r="AA84" s="175"/>
      <c r="AB84" s="175"/>
      <c r="AC84" s="175"/>
      <c r="AD84" s="175"/>
      <c r="AE84" s="175"/>
      <c r="AF84" s="96"/>
      <c r="AG84" s="96"/>
      <c r="AH84" s="96"/>
      <c r="AI84" s="96"/>
      <c r="AJ84" s="125"/>
      <c r="AK84" s="175"/>
      <c r="AL84" s="175"/>
      <c r="AM84" s="175"/>
      <c r="AN84" s="175"/>
      <c r="AO84" s="175"/>
      <c r="AP84" s="96"/>
      <c r="AQ84" s="96"/>
      <c r="AR84" s="96"/>
      <c r="AS84" s="96"/>
    </row>
    <row r="85" spans="1:45" x14ac:dyDescent="0.25">
      <c r="A85" s="104"/>
      <c r="M85" s="104"/>
      <c r="N85" s="89"/>
      <c r="O85" s="89"/>
      <c r="P85" s="89"/>
      <c r="Q85" s="89"/>
      <c r="R85" s="89"/>
      <c r="S85" s="167"/>
      <c r="T85" s="168"/>
      <c r="U85" s="168"/>
      <c r="V85" s="168"/>
      <c r="W85" s="168"/>
      <c r="X85" s="168"/>
      <c r="Y85" s="90"/>
      <c r="Z85" s="125"/>
      <c r="AA85" s="175"/>
      <c r="AB85" s="175"/>
      <c r="AC85" s="175"/>
      <c r="AD85" s="175"/>
      <c r="AE85" s="175"/>
      <c r="AF85" s="96"/>
      <c r="AG85" s="96"/>
      <c r="AH85" s="96"/>
      <c r="AI85" s="96"/>
      <c r="AJ85" s="125"/>
      <c r="AK85" s="175"/>
      <c r="AL85" s="175"/>
      <c r="AM85" s="175"/>
      <c r="AN85" s="175"/>
      <c r="AO85" s="175"/>
      <c r="AP85" s="96"/>
      <c r="AQ85" s="96"/>
      <c r="AR85" s="96"/>
      <c r="AS85" s="96"/>
    </row>
    <row r="86" spans="1:45" x14ac:dyDescent="0.25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89"/>
      <c r="O86" s="89"/>
      <c r="P86" s="89"/>
      <c r="Q86" s="89"/>
      <c r="R86" s="89"/>
      <c r="S86" s="167"/>
      <c r="T86" s="168"/>
      <c r="U86" s="168"/>
      <c r="V86" s="168"/>
      <c r="W86" s="168"/>
      <c r="X86" s="168"/>
      <c r="Y86" s="90"/>
      <c r="Z86" s="125"/>
      <c r="AA86" s="175"/>
      <c r="AB86" s="175"/>
      <c r="AC86" s="175"/>
      <c r="AD86" s="175"/>
      <c r="AE86" s="175"/>
      <c r="AF86" s="96"/>
      <c r="AG86" s="96"/>
      <c r="AH86" s="96"/>
      <c r="AI86" s="96"/>
      <c r="AJ86" s="125"/>
      <c r="AK86" s="175"/>
      <c r="AL86" s="175"/>
      <c r="AM86" s="175"/>
      <c r="AN86" s="175"/>
      <c r="AO86" s="175"/>
      <c r="AP86" s="96"/>
      <c r="AQ86" s="96"/>
      <c r="AR86" s="96"/>
      <c r="AS86" s="96"/>
    </row>
    <row r="87" spans="1:45" x14ac:dyDescent="0.25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89"/>
      <c r="O87" s="89"/>
      <c r="P87" s="89"/>
      <c r="Q87" s="89"/>
      <c r="R87" s="89"/>
      <c r="S87" s="167"/>
      <c r="T87" s="168"/>
      <c r="U87" s="168"/>
      <c r="V87" s="168"/>
      <c r="W87" s="168"/>
      <c r="X87" s="168"/>
      <c r="Y87" s="90"/>
      <c r="Z87" s="125"/>
      <c r="AA87" s="175"/>
      <c r="AB87" s="175"/>
      <c r="AC87" s="175"/>
      <c r="AD87" s="175"/>
      <c r="AE87" s="175"/>
      <c r="AF87" s="96"/>
      <c r="AG87" s="96"/>
      <c r="AH87" s="96"/>
      <c r="AI87" s="96"/>
      <c r="AJ87" s="125"/>
      <c r="AK87" s="175"/>
      <c r="AL87" s="175"/>
      <c r="AM87" s="175"/>
      <c r="AN87" s="175"/>
      <c r="AO87" s="175"/>
      <c r="AP87" s="96"/>
      <c r="AQ87" s="96"/>
      <c r="AR87" s="96"/>
      <c r="AS87" s="96"/>
    </row>
    <row r="88" spans="1:45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89"/>
      <c r="O88" s="89"/>
      <c r="P88" s="89"/>
      <c r="Q88" s="89"/>
      <c r="R88" s="89"/>
      <c r="S88" s="167"/>
      <c r="T88" s="168"/>
      <c r="U88" s="168"/>
      <c r="V88" s="168"/>
      <c r="W88" s="168"/>
      <c r="X88" s="168"/>
      <c r="Y88" s="90"/>
      <c r="Z88" s="125"/>
      <c r="AA88" s="175"/>
      <c r="AB88" s="175"/>
      <c r="AC88" s="175"/>
      <c r="AD88" s="175"/>
      <c r="AE88" s="175"/>
      <c r="AF88" s="96"/>
      <c r="AG88" s="96"/>
      <c r="AH88" s="96"/>
      <c r="AI88" s="96"/>
      <c r="AJ88" s="125"/>
      <c r="AK88" s="175"/>
      <c r="AL88" s="175"/>
      <c r="AM88" s="175"/>
      <c r="AN88" s="175"/>
      <c r="AO88" s="175"/>
      <c r="AP88" s="96"/>
      <c r="AQ88" s="96"/>
      <c r="AR88" s="96"/>
      <c r="AS88" s="96"/>
    </row>
    <row r="89" spans="1:45" x14ac:dyDescent="0.25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89"/>
      <c r="O89" s="89"/>
      <c r="P89" s="89"/>
      <c r="Q89" s="89"/>
      <c r="R89" s="89"/>
      <c r="S89" s="167"/>
      <c r="T89" s="168"/>
      <c r="U89" s="168"/>
      <c r="V89" s="168"/>
      <c r="W89" s="168"/>
      <c r="X89" s="168"/>
      <c r="Y89" s="90"/>
      <c r="Z89" s="125"/>
      <c r="AA89" s="175"/>
      <c r="AB89" s="175"/>
      <c r="AC89" s="175"/>
      <c r="AD89" s="175"/>
      <c r="AE89" s="175"/>
      <c r="AF89" s="96"/>
      <c r="AG89" s="96"/>
      <c r="AH89" s="96"/>
      <c r="AI89" s="96"/>
      <c r="AJ89" s="125"/>
      <c r="AK89" s="175"/>
      <c r="AL89" s="175"/>
      <c r="AM89" s="175"/>
      <c r="AN89" s="175"/>
      <c r="AO89" s="175"/>
      <c r="AP89" s="96"/>
      <c r="AQ89" s="96"/>
      <c r="AR89" s="96"/>
      <c r="AS89" s="96"/>
    </row>
    <row r="90" spans="1:45" x14ac:dyDescent="0.25">
      <c r="N90" s="90"/>
      <c r="O90" s="90"/>
      <c r="P90" s="90"/>
      <c r="Q90" s="90"/>
      <c r="R90" s="90"/>
      <c r="S90" s="167"/>
      <c r="T90" s="168"/>
      <c r="U90" s="168"/>
      <c r="V90" s="168"/>
      <c r="W90" s="168"/>
      <c r="X90" s="168"/>
      <c r="Y90" s="90"/>
      <c r="Z90" s="125"/>
      <c r="AA90" s="175"/>
      <c r="AB90" s="175"/>
      <c r="AC90" s="175"/>
      <c r="AD90" s="175"/>
      <c r="AE90" s="175"/>
      <c r="AF90" s="96"/>
      <c r="AG90" s="96"/>
      <c r="AH90" s="96"/>
      <c r="AI90" s="96"/>
      <c r="AJ90" s="125"/>
      <c r="AK90" s="175"/>
      <c r="AL90" s="175"/>
      <c r="AM90" s="175"/>
      <c r="AN90" s="175"/>
      <c r="AO90" s="175"/>
      <c r="AP90" s="96"/>
      <c r="AQ90" s="96"/>
      <c r="AR90" s="96"/>
      <c r="AS90" s="96"/>
    </row>
    <row r="91" spans="1:45" x14ac:dyDescent="0.25">
      <c r="N91" s="90"/>
      <c r="O91" s="90"/>
      <c r="P91" s="90"/>
      <c r="Q91" s="90"/>
      <c r="R91" s="90"/>
      <c r="S91" s="167"/>
      <c r="T91" s="168"/>
      <c r="U91" s="168"/>
      <c r="V91" s="168"/>
      <c r="W91" s="168"/>
      <c r="X91" s="168"/>
      <c r="Y91" s="90"/>
      <c r="Z91" s="125"/>
      <c r="AA91" s="175"/>
      <c r="AB91" s="175"/>
      <c r="AC91" s="175"/>
      <c r="AD91" s="175"/>
      <c r="AE91" s="175"/>
      <c r="AF91" s="175"/>
      <c r="AG91" s="175"/>
      <c r="AH91" s="175"/>
      <c r="AI91" s="96"/>
      <c r="AJ91" s="125"/>
      <c r="AK91" s="175"/>
      <c r="AL91" s="175"/>
      <c r="AM91" s="175"/>
      <c r="AN91" s="175"/>
      <c r="AO91" s="175"/>
      <c r="AP91" s="175"/>
      <c r="AQ91" s="175"/>
      <c r="AR91" s="175"/>
      <c r="AS91" s="96"/>
    </row>
    <row r="92" spans="1:45" x14ac:dyDescent="0.25">
      <c r="S92" s="167"/>
      <c r="T92" s="168"/>
      <c r="U92" s="168"/>
      <c r="V92" s="168"/>
      <c r="W92" s="168"/>
      <c r="X92" s="168"/>
      <c r="Y92" s="90"/>
      <c r="Z92" s="125"/>
      <c r="AA92" s="175"/>
      <c r="AB92" s="175"/>
      <c r="AC92" s="175"/>
      <c r="AD92" s="175"/>
      <c r="AE92" s="175"/>
      <c r="AF92" s="175"/>
      <c r="AG92" s="175"/>
      <c r="AH92" s="175"/>
      <c r="AI92" s="96"/>
      <c r="AJ92" s="125"/>
      <c r="AK92" s="175"/>
      <c r="AL92" s="175"/>
      <c r="AM92" s="175"/>
      <c r="AN92" s="175"/>
      <c r="AO92" s="175"/>
      <c r="AP92" s="175"/>
      <c r="AQ92" s="175"/>
      <c r="AR92" s="175"/>
      <c r="AS92" s="96"/>
    </row>
    <row r="93" spans="1:45" x14ac:dyDescent="0.25">
      <c r="S93" s="167"/>
      <c r="T93" s="168"/>
      <c r="U93" s="168"/>
      <c r="V93" s="168"/>
      <c r="W93" s="168"/>
      <c r="X93" s="168"/>
      <c r="Y93" s="90"/>
      <c r="Z93" s="125"/>
      <c r="AA93" s="175"/>
      <c r="AB93" s="175"/>
      <c r="AC93" s="175"/>
      <c r="AD93" s="175"/>
      <c r="AE93" s="175"/>
      <c r="AF93" s="175"/>
      <c r="AG93" s="175"/>
      <c r="AH93" s="175"/>
      <c r="AI93" s="96"/>
      <c r="AJ93" s="125"/>
      <c r="AK93" s="175"/>
      <c r="AL93" s="175"/>
      <c r="AM93" s="175"/>
      <c r="AN93" s="175"/>
      <c r="AO93" s="175"/>
      <c r="AP93" s="175"/>
      <c r="AQ93" s="175"/>
      <c r="AR93" s="175"/>
      <c r="AS93" s="96"/>
    </row>
    <row r="94" spans="1:45" x14ac:dyDescent="0.25">
      <c r="S94" s="90"/>
      <c r="T94" s="90"/>
      <c r="U94" s="90"/>
      <c r="V94" s="90"/>
      <c r="W94" s="90"/>
      <c r="X94" s="90"/>
      <c r="Y94" s="90"/>
      <c r="Z94" s="125"/>
      <c r="AA94" s="175"/>
      <c r="AB94" s="175"/>
      <c r="AC94" s="175"/>
      <c r="AD94" s="175"/>
      <c r="AE94" s="175"/>
      <c r="AF94" s="175"/>
      <c r="AG94" s="175"/>
      <c r="AH94" s="175"/>
      <c r="AI94" s="96"/>
      <c r="AJ94" s="125"/>
      <c r="AK94" s="175"/>
      <c r="AL94" s="175"/>
      <c r="AM94" s="175"/>
      <c r="AN94" s="175"/>
      <c r="AO94" s="175"/>
      <c r="AP94" s="175"/>
      <c r="AQ94" s="175"/>
      <c r="AR94" s="175"/>
      <c r="AS94" s="96"/>
    </row>
    <row r="95" spans="1:45" x14ac:dyDescent="0.25">
      <c r="S95" s="90"/>
      <c r="T95" s="90"/>
      <c r="U95" s="90"/>
      <c r="V95" s="90"/>
      <c r="W95" s="90"/>
      <c r="X95" s="90"/>
      <c r="Y95" s="90"/>
      <c r="Z95" s="125"/>
      <c r="AA95" s="175"/>
      <c r="AB95" s="175"/>
      <c r="AC95" s="175"/>
      <c r="AD95" s="175"/>
      <c r="AE95" s="175"/>
      <c r="AF95" s="175"/>
      <c r="AG95" s="175"/>
      <c r="AH95" s="175"/>
      <c r="AI95" s="96"/>
      <c r="AJ95" s="125"/>
      <c r="AK95" s="175"/>
      <c r="AL95" s="175"/>
      <c r="AM95" s="175"/>
      <c r="AN95" s="175"/>
      <c r="AO95" s="175"/>
      <c r="AP95" s="175"/>
      <c r="AQ95" s="175"/>
      <c r="AR95" s="175"/>
      <c r="AS95" s="96"/>
    </row>
    <row r="96" spans="1:45" x14ac:dyDescent="0.25">
      <c r="Z96" s="125"/>
      <c r="AA96" s="175"/>
      <c r="AB96" s="175"/>
      <c r="AC96" s="175"/>
      <c r="AD96" s="175"/>
      <c r="AE96" s="175"/>
      <c r="AF96" s="175"/>
      <c r="AG96" s="175"/>
      <c r="AH96" s="175"/>
      <c r="AI96" s="96"/>
      <c r="AJ96" s="125"/>
      <c r="AK96" s="175"/>
      <c r="AL96" s="175"/>
      <c r="AM96" s="175"/>
      <c r="AN96" s="175"/>
      <c r="AO96" s="175"/>
      <c r="AP96" s="175"/>
      <c r="AQ96" s="175"/>
      <c r="AR96" s="175"/>
      <c r="AS96" s="96"/>
    </row>
    <row r="97" spans="26:45" x14ac:dyDescent="0.25">
      <c r="Z97" s="125"/>
      <c r="AA97" s="175"/>
      <c r="AB97" s="175"/>
      <c r="AC97" s="175"/>
      <c r="AD97" s="175"/>
      <c r="AE97" s="175"/>
      <c r="AF97" s="175"/>
      <c r="AG97" s="175"/>
      <c r="AH97" s="175"/>
      <c r="AI97" s="96"/>
      <c r="AJ97" s="125"/>
      <c r="AK97" s="175"/>
      <c r="AL97" s="175"/>
      <c r="AM97" s="175"/>
      <c r="AN97" s="175"/>
      <c r="AO97" s="175"/>
      <c r="AP97" s="175"/>
      <c r="AQ97" s="175"/>
      <c r="AR97" s="175"/>
      <c r="AS97" s="96"/>
    </row>
    <row r="98" spans="26:45" x14ac:dyDescent="0.25">
      <c r="Z98" s="125"/>
      <c r="AA98" s="175"/>
      <c r="AB98" s="175"/>
      <c r="AC98" s="175"/>
      <c r="AD98" s="175"/>
      <c r="AE98" s="175"/>
      <c r="AF98" s="175"/>
      <c r="AG98" s="175"/>
      <c r="AH98" s="175"/>
      <c r="AI98" s="96"/>
      <c r="AJ98" s="125"/>
      <c r="AK98" s="175"/>
      <c r="AL98" s="175"/>
      <c r="AM98" s="175"/>
      <c r="AN98" s="175"/>
      <c r="AO98" s="175"/>
      <c r="AP98" s="175"/>
      <c r="AQ98" s="175"/>
      <c r="AR98" s="175"/>
      <c r="AS98" s="96"/>
    </row>
    <row r="99" spans="26:45" x14ac:dyDescent="0.25">
      <c r="Z99" s="125"/>
      <c r="AA99" s="175"/>
      <c r="AB99" s="175"/>
      <c r="AC99" s="175"/>
      <c r="AD99" s="175"/>
      <c r="AE99" s="175"/>
      <c r="AF99" s="175"/>
      <c r="AG99" s="175"/>
      <c r="AH99" s="175"/>
      <c r="AI99" s="96"/>
      <c r="AJ99" s="125"/>
      <c r="AK99" s="175"/>
      <c r="AL99" s="175"/>
      <c r="AM99" s="175"/>
      <c r="AN99" s="175"/>
      <c r="AO99" s="175"/>
      <c r="AP99" s="175"/>
      <c r="AQ99" s="175"/>
      <c r="AR99" s="175"/>
      <c r="AS99" s="96"/>
    </row>
    <row r="100" spans="26:45" x14ac:dyDescent="0.25">
      <c r="Z100" s="125"/>
      <c r="AA100" s="175"/>
      <c r="AB100" s="175"/>
      <c r="AC100" s="175"/>
      <c r="AD100" s="175"/>
      <c r="AE100" s="175"/>
      <c r="AF100" s="175"/>
      <c r="AG100" s="175"/>
      <c r="AH100" s="175"/>
      <c r="AI100" s="96"/>
      <c r="AJ100" s="125"/>
      <c r="AK100" s="175"/>
      <c r="AL100" s="175"/>
      <c r="AM100" s="175"/>
      <c r="AN100" s="175"/>
      <c r="AO100" s="175"/>
      <c r="AP100" s="175"/>
      <c r="AQ100" s="175"/>
      <c r="AR100" s="175"/>
      <c r="AS100" s="96"/>
    </row>
    <row r="101" spans="26:45" x14ac:dyDescent="0.25">
      <c r="Z101" s="125"/>
      <c r="AA101" s="175"/>
      <c r="AB101" s="175"/>
      <c r="AC101" s="175"/>
      <c r="AD101" s="175"/>
      <c r="AE101" s="175"/>
      <c r="AF101" s="175"/>
      <c r="AG101" s="175"/>
      <c r="AH101" s="175"/>
      <c r="AI101" s="96"/>
      <c r="AJ101" s="125"/>
      <c r="AK101" s="175"/>
      <c r="AL101" s="175"/>
      <c r="AM101" s="175"/>
      <c r="AN101" s="175"/>
      <c r="AO101" s="175"/>
      <c r="AP101" s="175"/>
      <c r="AQ101" s="175"/>
      <c r="AR101" s="175"/>
      <c r="AS101" s="96"/>
    </row>
    <row r="102" spans="26:45" x14ac:dyDescent="0.25">
      <c r="Z102" s="125"/>
      <c r="AA102" s="175"/>
      <c r="AB102" s="175"/>
      <c r="AC102" s="175"/>
      <c r="AD102" s="175"/>
      <c r="AE102" s="175"/>
      <c r="AF102" s="175"/>
      <c r="AG102" s="175"/>
      <c r="AH102" s="175"/>
      <c r="AI102" s="96"/>
      <c r="AJ102" s="125"/>
      <c r="AK102" s="175"/>
      <c r="AL102" s="175"/>
      <c r="AM102" s="175"/>
      <c r="AN102" s="175"/>
      <c r="AO102" s="175"/>
      <c r="AP102" s="175"/>
      <c r="AQ102" s="175"/>
      <c r="AR102" s="175"/>
      <c r="AS102" s="96"/>
    </row>
    <row r="103" spans="26:45" x14ac:dyDescent="0.25">
      <c r="Z103" s="125"/>
      <c r="AA103" s="175"/>
      <c r="AB103" s="175"/>
      <c r="AC103" s="175"/>
      <c r="AD103" s="175"/>
      <c r="AE103" s="175"/>
      <c r="AF103" s="175"/>
      <c r="AG103" s="175"/>
      <c r="AH103" s="175"/>
      <c r="AI103" s="96"/>
      <c r="AJ103" s="125"/>
      <c r="AK103" s="175"/>
      <c r="AL103" s="175"/>
      <c r="AM103" s="175"/>
      <c r="AN103" s="175"/>
      <c r="AO103" s="175"/>
      <c r="AP103" s="175"/>
      <c r="AQ103" s="175"/>
      <c r="AR103" s="175"/>
      <c r="AS103" s="96"/>
    </row>
    <row r="104" spans="26:45" x14ac:dyDescent="0.25">
      <c r="Z104" s="125"/>
      <c r="AA104" s="175"/>
      <c r="AB104" s="175"/>
      <c r="AC104" s="175"/>
      <c r="AD104" s="175"/>
      <c r="AE104" s="175"/>
      <c r="AF104" s="175"/>
      <c r="AG104" s="175"/>
      <c r="AH104" s="175"/>
      <c r="AI104" s="96"/>
      <c r="AJ104" s="125"/>
      <c r="AK104" s="175"/>
      <c r="AL104" s="175"/>
      <c r="AM104" s="175"/>
      <c r="AN104" s="175"/>
      <c r="AO104" s="175"/>
      <c r="AP104" s="175"/>
      <c r="AQ104" s="175"/>
      <c r="AR104" s="175"/>
      <c r="AS104" s="96"/>
    </row>
    <row r="105" spans="26:45" x14ac:dyDescent="0.25">
      <c r="Z105" s="125"/>
      <c r="AA105" s="175"/>
      <c r="AB105" s="175"/>
      <c r="AC105" s="175"/>
      <c r="AD105" s="175"/>
      <c r="AE105" s="175"/>
      <c r="AF105" s="175"/>
      <c r="AG105" s="175"/>
      <c r="AH105" s="175"/>
      <c r="AI105" s="96"/>
      <c r="AJ105" s="125"/>
      <c r="AK105" s="175"/>
      <c r="AL105" s="175"/>
      <c r="AM105" s="175"/>
      <c r="AN105" s="175"/>
      <c r="AO105" s="175"/>
      <c r="AP105" s="175"/>
      <c r="AQ105" s="175"/>
      <c r="AR105" s="175"/>
      <c r="AS105" s="96"/>
    </row>
    <row r="106" spans="26:45" x14ac:dyDescent="0.25">
      <c r="Z106" s="125"/>
      <c r="AA106" s="175"/>
      <c r="AB106" s="175"/>
      <c r="AC106" s="175"/>
      <c r="AD106" s="175"/>
      <c r="AE106" s="175"/>
      <c r="AF106" s="175"/>
      <c r="AG106" s="175"/>
      <c r="AH106" s="175"/>
      <c r="AI106" s="96"/>
      <c r="AJ106" s="125"/>
      <c r="AK106" s="175"/>
      <c r="AL106" s="175"/>
      <c r="AM106" s="175"/>
      <c r="AN106" s="175"/>
      <c r="AO106" s="175"/>
      <c r="AP106" s="175"/>
      <c r="AQ106" s="175"/>
      <c r="AR106" s="175"/>
      <c r="AS106" s="96"/>
    </row>
    <row r="107" spans="26:45" x14ac:dyDescent="0.25"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</row>
    <row r="108" spans="26:45" x14ac:dyDescent="0.25"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</row>
  </sheetData>
  <mergeCells count="8">
    <mergeCell ref="AJ10:AR10"/>
    <mergeCell ref="Z61:AH61"/>
    <mergeCell ref="AJ61:AR61"/>
    <mergeCell ref="B1:E1"/>
    <mergeCell ref="V1:Y1"/>
    <mergeCell ref="Z10:AH10"/>
    <mergeCell ref="Q1:T1"/>
    <mergeCell ref="G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D376-5C03-44F3-8DF2-E39376090F39}">
  <dimension ref="B1:AZ223"/>
  <sheetViews>
    <sheetView zoomScale="63" zoomScaleNormal="63" workbookViewId="0">
      <selection activeCell="AG10" sqref="AG10"/>
    </sheetView>
  </sheetViews>
  <sheetFormatPr defaultRowHeight="15" x14ac:dyDescent="0.25"/>
  <sheetData>
    <row r="1" spans="2:52" ht="18.75" x14ac:dyDescent="0.3">
      <c r="B1" s="132" t="s">
        <v>228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V1" s="8"/>
      <c r="W1" s="8"/>
      <c r="AP1" s="123"/>
      <c r="AQ1" s="123"/>
      <c r="AR1" s="8"/>
      <c r="AS1" s="8"/>
      <c r="AT1" s="8"/>
      <c r="AU1" s="8"/>
      <c r="AV1" s="8"/>
      <c r="AW1" s="8"/>
      <c r="AX1" s="8"/>
      <c r="AY1" s="8"/>
      <c r="AZ1" s="8"/>
    </row>
    <row r="2" spans="2:52" x14ac:dyDescent="0.25">
      <c r="V2" s="8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J2" s="124"/>
      <c r="AK2" s="117"/>
      <c r="AS2" s="36"/>
      <c r="AT2" s="36"/>
      <c r="AU2" s="36"/>
      <c r="AV2" s="36"/>
      <c r="AW2" s="36"/>
      <c r="AX2" s="36"/>
      <c r="AY2" s="36"/>
      <c r="AZ2" s="36"/>
    </row>
    <row r="3" spans="2:52" x14ac:dyDescent="0.25">
      <c r="B3" s="263" t="s">
        <v>38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5"/>
      <c r="N3" s="8"/>
      <c r="O3" s="37" t="s">
        <v>2</v>
      </c>
      <c r="P3" s="38" t="s">
        <v>3</v>
      </c>
      <c r="Q3" s="38" t="s">
        <v>39</v>
      </c>
      <c r="R3" s="38" t="s">
        <v>40</v>
      </c>
      <c r="S3" s="38" t="s">
        <v>41</v>
      </c>
      <c r="T3" s="38" t="s">
        <v>42</v>
      </c>
      <c r="U3" s="38" t="s">
        <v>43</v>
      </c>
      <c r="V3" s="38" t="s">
        <v>44</v>
      </c>
      <c r="W3" s="38" t="s">
        <v>45</v>
      </c>
      <c r="X3" s="38" t="s">
        <v>46</v>
      </c>
      <c r="Y3" s="38" t="s">
        <v>47</v>
      </c>
      <c r="Z3" s="39" t="s">
        <v>48</v>
      </c>
      <c r="AB3" s="122" t="s">
        <v>223</v>
      </c>
      <c r="AC3" s="23"/>
      <c r="AE3" s="83"/>
      <c r="AF3" s="83"/>
      <c r="AG3" s="83"/>
      <c r="AH3" s="83"/>
      <c r="AJ3" s="124"/>
      <c r="AK3" s="118"/>
      <c r="AS3" s="23"/>
      <c r="AT3" s="23"/>
      <c r="AU3" s="23"/>
      <c r="AV3" s="23"/>
      <c r="AW3" s="23"/>
      <c r="AX3" s="23"/>
      <c r="AY3" s="23"/>
      <c r="AZ3" s="23"/>
    </row>
    <row r="4" spans="2:52" x14ac:dyDescent="0.25">
      <c r="B4" s="266" t="s">
        <v>1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8"/>
      <c r="N4" s="8"/>
      <c r="O4" s="7">
        <v>5</v>
      </c>
      <c r="P4" s="8">
        <v>0</v>
      </c>
      <c r="Q4" s="8"/>
      <c r="R4" s="8"/>
      <c r="S4" s="8"/>
      <c r="T4" s="8"/>
      <c r="U4" s="8"/>
      <c r="V4" s="8"/>
      <c r="W4" s="8"/>
      <c r="X4" s="8"/>
      <c r="Y4" s="8"/>
      <c r="Z4" s="9"/>
      <c r="AB4" s="122" t="s">
        <v>224</v>
      </c>
      <c r="AC4" s="23"/>
      <c r="AE4" s="83"/>
      <c r="AF4" s="83"/>
      <c r="AG4" s="83"/>
      <c r="AH4" s="83"/>
      <c r="AJ4" s="124"/>
      <c r="AK4" s="118"/>
      <c r="AS4" s="23"/>
      <c r="AT4" s="23"/>
      <c r="AU4" s="23"/>
      <c r="AV4" s="23"/>
      <c r="AW4" s="23"/>
      <c r="AX4" s="23"/>
      <c r="AY4" s="23"/>
      <c r="AZ4" s="23"/>
    </row>
    <row r="5" spans="2:52" x14ac:dyDescent="0.25">
      <c r="B5" s="37"/>
      <c r="C5" s="107" t="s">
        <v>3</v>
      </c>
      <c r="D5" s="107" t="s">
        <v>39</v>
      </c>
      <c r="E5" s="107" t="s">
        <v>40</v>
      </c>
      <c r="F5" s="107" t="s">
        <v>41</v>
      </c>
      <c r="G5" s="107" t="s">
        <v>42</v>
      </c>
      <c r="H5" s="107" t="s">
        <v>43</v>
      </c>
      <c r="I5" s="107" t="s">
        <v>44</v>
      </c>
      <c r="J5" s="107" t="s">
        <v>45</v>
      </c>
      <c r="K5" s="107" t="s">
        <v>46</v>
      </c>
      <c r="L5" s="107" t="s">
        <v>47</v>
      </c>
      <c r="M5" s="108" t="s">
        <v>48</v>
      </c>
      <c r="N5" s="8"/>
      <c r="O5" s="7">
        <v>5</v>
      </c>
      <c r="P5" s="8">
        <v>0</v>
      </c>
      <c r="Q5" s="8"/>
      <c r="R5" s="8"/>
      <c r="S5" s="8"/>
      <c r="T5" s="8"/>
      <c r="U5" s="8"/>
      <c r="V5" s="8"/>
      <c r="W5" s="8"/>
      <c r="X5" s="8"/>
      <c r="Y5" s="8"/>
      <c r="Z5" s="9"/>
      <c r="AB5" s="35"/>
      <c r="AC5" s="23"/>
      <c r="AE5" s="83"/>
      <c r="AF5" s="83"/>
      <c r="AG5" s="83"/>
      <c r="AH5" s="83"/>
      <c r="AJ5" s="124"/>
      <c r="AK5" s="118"/>
      <c r="AS5" s="23"/>
      <c r="AT5" s="23"/>
      <c r="AU5" s="23"/>
      <c r="AV5" s="23"/>
      <c r="AW5" s="23"/>
      <c r="AX5" s="23"/>
      <c r="AY5" s="23"/>
      <c r="AZ5" s="23"/>
    </row>
    <row r="6" spans="2:52" x14ac:dyDescent="0.25">
      <c r="B6" s="261" t="s">
        <v>6</v>
      </c>
      <c r="C6" s="91">
        <v>9</v>
      </c>
      <c r="D6" s="91">
        <v>9</v>
      </c>
      <c r="E6" s="91">
        <v>9.5</v>
      </c>
      <c r="F6" s="91">
        <v>8.5</v>
      </c>
      <c r="G6" s="91">
        <v>9</v>
      </c>
      <c r="H6" s="91">
        <v>9</v>
      </c>
      <c r="I6" s="91">
        <v>9</v>
      </c>
      <c r="J6" s="91">
        <v>10</v>
      </c>
      <c r="K6" s="91">
        <v>9</v>
      </c>
      <c r="L6" s="91">
        <v>9</v>
      </c>
      <c r="M6" s="6">
        <v>9</v>
      </c>
      <c r="N6" s="8"/>
      <c r="O6" s="7">
        <v>5</v>
      </c>
      <c r="P6" s="8">
        <v>0</v>
      </c>
      <c r="Q6" s="8"/>
      <c r="R6" s="8"/>
      <c r="S6" s="8"/>
      <c r="T6" s="8"/>
      <c r="U6" s="8"/>
      <c r="V6" s="8"/>
      <c r="W6" s="8"/>
      <c r="X6" s="8"/>
      <c r="Y6" s="8"/>
      <c r="Z6" s="9"/>
      <c r="AB6" s="35"/>
      <c r="AC6" s="23"/>
      <c r="AE6" s="83"/>
      <c r="AF6" s="83"/>
      <c r="AG6" s="83"/>
      <c r="AH6" s="83"/>
      <c r="AJ6" s="124"/>
      <c r="AK6" s="118"/>
      <c r="AS6" s="23"/>
      <c r="AT6" s="23"/>
      <c r="AU6" s="23"/>
      <c r="AV6" s="23"/>
      <c r="AW6" s="23"/>
      <c r="AX6" s="23"/>
      <c r="AY6" s="23"/>
      <c r="AZ6" s="23"/>
    </row>
    <row r="7" spans="2:52" x14ac:dyDescent="0.25">
      <c r="B7" s="261"/>
      <c r="C7" s="91">
        <v>9</v>
      </c>
      <c r="D7" s="91">
        <v>10</v>
      </c>
      <c r="E7" s="91">
        <v>9.5</v>
      </c>
      <c r="F7" s="91">
        <v>9.5</v>
      </c>
      <c r="G7" s="91">
        <v>9.5</v>
      </c>
      <c r="H7" s="91">
        <v>9</v>
      </c>
      <c r="I7" s="91">
        <v>9</v>
      </c>
      <c r="J7" s="91">
        <v>10</v>
      </c>
      <c r="K7" s="91">
        <v>9</v>
      </c>
      <c r="L7" s="91">
        <v>10</v>
      </c>
      <c r="M7" s="6">
        <v>10</v>
      </c>
      <c r="N7" s="8"/>
      <c r="O7" s="7">
        <v>5</v>
      </c>
      <c r="P7" s="8">
        <v>0</v>
      </c>
      <c r="Q7" s="8"/>
      <c r="R7" s="8"/>
      <c r="S7" s="8"/>
      <c r="T7" s="8"/>
      <c r="U7" s="8"/>
      <c r="V7" s="8"/>
      <c r="W7" s="8"/>
      <c r="X7" s="8"/>
      <c r="Y7" s="8"/>
      <c r="Z7" s="9"/>
      <c r="AB7" s="35"/>
      <c r="AC7" s="23"/>
      <c r="AE7" s="83"/>
      <c r="AF7" s="83"/>
      <c r="AG7" s="83"/>
      <c r="AH7" s="83"/>
      <c r="AJ7" s="124"/>
      <c r="AK7" s="118"/>
      <c r="AS7" s="23"/>
      <c r="AT7" s="23"/>
      <c r="AU7" s="23"/>
      <c r="AV7" s="23"/>
      <c r="AW7" s="23"/>
      <c r="AX7" s="23"/>
      <c r="AY7" s="23"/>
      <c r="AZ7" s="23"/>
    </row>
    <row r="8" spans="2:52" x14ac:dyDescent="0.25">
      <c r="B8" s="261"/>
      <c r="C8" s="91">
        <v>9</v>
      </c>
      <c r="D8" s="91">
        <v>10</v>
      </c>
      <c r="E8" s="91">
        <v>9.5</v>
      </c>
      <c r="F8" s="91">
        <v>9.5</v>
      </c>
      <c r="G8" s="91">
        <v>9.5</v>
      </c>
      <c r="H8" s="91">
        <v>10</v>
      </c>
      <c r="I8" s="91">
        <v>10</v>
      </c>
      <c r="J8" s="91">
        <v>10</v>
      </c>
      <c r="K8" s="91">
        <v>9</v>
      </c>
      <c r="L8" s="91">
        <v>10</v>
      </c>
      <c r="M8" s="6">
        <v>10</v>
      </c>
      <c r="N8" s="8"/>
      <c r="O8" s="7">
        <v>5</v>
      </c>
      <c r="P8" s="8">
        <v>0</v>
      </c>
      <c r="Q8" s="8"/>
      <c r="R8" s="8"/>
      <c r="S8" s="8"/>
      <c r="T8" s="8"/>
      <c r="U8" s="8"/>
      <c r="V8" s="8"/>
      <c r="W8" s="8"/>
      <c r="X8" s="8"/>
      <c r="Y8" s="8"/>
      <c r="Z8" s="9"/>
      <c r="AB8" s="35"/>
      <c r="AC8" s="23"/>
      <c r="AE8" s="83"/>
      <c r="AF8" s="83"/>
      <c r="AG8" s="83"/>
      <c r="AH8" s="83"/>
      <c r="AJ8" s="124"/>
      <c r="AK8" s="118"/>
      <c r="AR8" s="23"/>
      <c r="AS8" s="23"/>
      <c r="AT8" s="23"/>
      <c r="AU8" s="23"/>
      <c r="AV8" s="23"/>
      <c r="AW8" s="23"/>
      <c r="AX8" s="23"/>
      <c r="AY8" s="23"/>
      <c r="AZ8" s="23"/>
    </row>
    <row r="9" spans="2:52" x14ac:dyDescent="0.25">
      <c r="B9" s="261"/>
      <c r="C9" s="91">
        <v>9</v>
      </c>
      <c r="D9" s="91">
        <v>10</v>
      </c>
      <c r="E9" s="91">
        <v>9.5</v>
      </c>
      <c r="F9" s="91">
        <v>9.5</v>
      </c>
      <c r="G9" s="91">
        <v>10</v>
      </c>
      <c r="H9" s="91">
        <v>10</v>
      </c>
      <c r="I9" s="91">
        <v>10</v>
      </c>
      <c r="J9" s="91">
        <v>10</v>
      </c>
      <c r="K9" s="91">
        <v>9</v>
      </c>
      <c r="L9" s="91">
        <v>10</v>
      </c>
      <c r="M9" s="6">
        <v>10</v>
      </c>
      <c r="N9" s="8"/>
      <c r="O9" s="7">
        <v>5</v>
      </c>
      <c r="P9" s="8">
        <v>0</v>
      </c>
      <c r="Q9" s="8"/>
      <c r="R9" s="8"/>
      <c r="S9" s="8"/>
      <c r="T9" s="8"/>
      <c r="U9" s="8"/>
      <c r="V9" s="8"/>
      <c r="W9" s="8"/>
      <c r="X9" s="8"/>
      <c r="Y9" s="8"/>
      <c r="Z9" s="9"/>
      <c r="AB9" s="35"/>
      <c r="AC9" s="23"/>
      <c r="AE9" s="83"/>
      <c r="AF9" s="83"/>
      <c r="AG9" s="83"/>
      <c r="AH9" s="83"/>
      <c r="AJ9" s="124"/>
      <c r="AK9" s="118"/>
      <c r="AR9" s="23"/>
      <c r="AS9" s="23"/>
      <c r="AT9" s="23"/>
      <c r="AU9" s="23"/>
      <c r="AV9" s="23"/>
      <c r="AW9" s="23"/>
      <c r="AX9" s="23"/>
      <c r="AY9" s="23"/>
      <c r="AZ9" s="23"/>
    </row>
    <row r="10" spans="2:52" x14ac:dyDescent="0.25">
      <c r="B10" s="261"/>
      <c r="C10" s="91">
        <v>9</v>
      </c>
      <c r="D10" s="91">
        <v>10</v>
      </c>
      <c r="E10" s="91">
        <v>10</v>
      </c>
      <c r="F10" s="91">
        <v>9</v>
      </c>
      <c r="G10" s="91">
        <v>10</v>
      </c>
      <c r="H10" s="91">
        <v>10</v>
      </c>
      <c r="I10" s="91">
        <v>10</v>
      </c>
      <c r="J10" s="91">
        <v>10</v>
      </c>
      <c r="K10" s="91">
        <v>8</v>
      </c>
      <c r="L10" s="91">
        <v>10</v>
      </c>
      <c r="M10" s="6">
        <v>10</v>
      </c>
      <c r="N10" s="8"/>
      <c r="O10" s="7">
        <v>5</v>
      </c>
      <c r="P10" s="8">
        <v>0</v>
      </c>
      <c r="Q10" s="8"/>
      <c r="R10" s="8"/>
      <c r="S10" s="8"/>
      <c r="T10" s="8"/>
      <c r="U10" s="8"/>
      <c r="V10" s="8"/>
      <c r="W10" s="8"/>
      <c r="X10" s="8"/>
      <c r="Y10" s="8"/>
      <c r="Z10" s="9"/>
      <c r="AB10" s="35"/>
      <c r="AC10" s="23"/>
      <c r="AE10" s="83"/>
      <c r="AF10" s="83"/>
      <c r="AG10" s="83"/>
      <c r="AH10" s="83"/>
      <c r="AJ10" s="35"/>
      <c r="AK10" s="23"/>
      <c r="AR10" s="23"/>
      <c r="AS10" s="23"/>
      <c r="AT10" s="23"/>
      <c r="AU10" s="23"/>
      <c r="AV10" s="23"/>
      <c r="AW10" s="23"/>
      <c r="AX10" s="23"/>
      <c r="AY10" s="23"/>
      <c r="AZ10" s="23"/>
    </row>
    <row r="11" spans="2:52" x14ac:dyDescent="0.25">
      <c r="B11" s="261"/>
      <c r="C11" s="91">
        <v>9</v>
      </c>
      <c r="D11" s="91">
        <v>10</v>
      </c>
      <c r="E11" s="91">
        <v>10</v>
      </c>
      <c r="F11" s="91">
        <v>10</v>
      </c>
      <c r="G11" s="91">
        <v>10</v>
      </c>
      <c r="H11" s="91">
        <v>10</v>
      </c>
      <c r="I11" s="91">
        <v>10</v>
      </c>
      <c r="J11" s="91">
        <v>10</v>
      </c>
      <c r="K11" s="91">
        <v>10</v>
      </c>
      <c r="L11" s="91">
        <v>10</v>
      </c>
      <c r="M11" s="6">
        <v>10</v>
      </c>
      <c r="N11" s="8"/>
      <c r="O11" s="7">
        <v>5</v>
      </c>
      <c r="P11" s="8">
        <v>0</v>
      </c>
      <c r="Q11" s="8"/>
      <c r="R11" s="8"/>
      <c r="S11" s="8"/>
      <c r="T11" s="8"/>
      <c r="U11" s="8"/>
      <c r="V11" s="8"/>
      <c r="W11" s="8"/>
      <c r="X11" s="8"/>
      <c r="Y11" s="8"/>
      <c r="Z11" s="9"/>
      <c r="AB11" s="35"/>
      <c r="AC11" s="23"/>
      <c r="AE11" s="83"/>
      <c r="AF11" s="83"/>
      <c r="AG11" s="83"/>
      <c r="AH11" s="83"/>
      <c r="AJ11" s="35"/>
      <c r="AK11" s="23"/>
      <c r="AR11" s="23"/>
      <c r="AS11" s="23"/>
      <c r="AT11" s="23"/>
      <c r="AU11" s="23"/>
      <c r="AV11" s="23"/>
      <c r="AW11" s="23"/>
      <c r="AX11" s="23"/>
      <c r="AY11" s="23"/>
      <c r="AZ11" s="23"/>
    </row>
    <row r="12" spans="2:52" x14ac:dyDescent="0.25">
      <c r="B12" s="261"/>
      <c r="C12" s="91">
        <v>9</v>
      </c>
      <c r="D12" s="91">
        <v>10</v>
      </c>
      <c r="E12" s="91">
        <v>10</v>
      </c>
      <c r="F12" s="91">
        <v>10</v>
      </c>
      <c r="G12" s="91">
        <v>10</v>
      </c>
      <c r="H12" s="91">
        <v>10</v>
      </c>
      <c r="I12" s="91">
        <v>10</v>
      </c>
      <c r="J12" s="91">
        <v>10</v>
      </c>
      <c r="K12" s="91">
        <v>10</v>
      </c>
      <c r="L12" s="91">
        <v>10</v>
      </c>
      <c r="M12" s="6">
        <v>10</v>
      </c>
      <c r="N12" s="8"/>
      <c r="O12" s="7">
        <v>5</v>
      </c>
      <c r="P12" s="8">
        <v>0</v>
      </c>
      <c r="Q12" s="8"/>
      <c r="R12" s="8"/>
      <c r="S12" s="8"/>
      <c r="T12" s="8"/>
      <c r="U12" s="8"/>
      <c r="V12" s="8"/>
      <c r="W12" s="8"/>
      <c r="X12" s="8"/>
      <c r="Y12" s="8"/>
      <c r="Z12" s="9"/>
      <c r="AB12" s="8"/>
      <c r="AC12" s="8"/>
      <c r="AE12" s="83"/>
      <c r="AF12" s="83"/>
      <c r="AG12" s="83"/>
      <c r="AH12" s="83"/>
      <c r="AJ12" s="35"/>
      <c r="AK12" s="23"/>
      <c r="AR12" s="23"/>
      <c r="AS12" s="23"/>
      <c r="AT12" s="23"/>
      <c r="AU12" s="23"/>
      <c r="AV12" s="23"/>
      <c r="AW12" s="23"/>
      <c r="AX12" s="23"/>
      <c r="AY12" s="23"/>
      <c r="AZ12" s="23"/>
    </row>
    <row r="13" spans="2:52" x14ac:dyDescent="0.25">
      <c r="B13" s="261"/>
      <c r="C13" s="91">
        <v>9</v>
      </c>
      <c r="D13" s="91">
        <v>10</v>
      </c>
      <c r="E13" s="91">
        <v>10</v>
      </c>
      <c r="F13" s="91">
        <v>10</v>
      </c>
      <c r="G13" s="91">
        <v>10</v>
      </c>
      <c r="H13" s="91">
        <v>10</v>
      </c>
      <c r="I13" s="91">
        <v>10</v>
      </c>
      <c r="J13" s="91">
        <v>10</v>
      </c>
      <c r="K13" s="91">
        <v>10</v>
      </c>
      <c r="L13" s="91">
        <v>10</v>
      </c>
      <c r="M13" s="6">
        <v>10</v>
      </c>
      <c r="N13" s="8"/>
      <c r="O13" s="7">
        <v>5</v>
      </c>
      <c r="P13" s="8">
        <v>0</v>
      </c>
      <c r="Q13" s="8"/>
      <c r="R13" s="8"/>
      <c r="S13" s="8"/>
      <c r="T13" s="8"/>
      <c r="U13" s="8"/>
      <c r="V13" s="8"/>
      <c r="W13" s="8"/>
      <c r="X13" s="8"/>
      <c r="Y13" s="8"/>
      <c r="Z13" s="9"/>
      <c r="AB13" s="4"/>
      <c r="AC13" s="4"/>
      <c r="AE13" s="83"/>
      <c r="AF13" s="83"/>
      <c r="AG13" s="83"/>
      <c r="AH13" s="83"/>
      <c r="AJ13" s="35"/>
      <c r="AK13" s="23"/>
      <c r="AR13" s="23"/>
      <c r="AS13" s="23"/>
      <c r="AT13" s="23"/>
      <c r="AU13" s="23"/>
      <c r="AV13" s="23"/>
      <c r="AW13" s="23"/>
      <c r="AX13" s="23"/>
      <c r="AY13" s="23"/>
      <c r="AZ13" s="23"/>
    </row>
    <row r="14" spans="2:52" x14ac:dyDescent="0.25">
      <c r="B14" s="261"/>
      <c r="C14" s="91">
        <v>10</v>
      </c>
      <c r="D14" s="91">
        <v>10</v>
      </c>
      <c r="E14" s="91">
        <v>10</v>
      </c>
      <c r="F14" s="91">
        <v>10</v>
      </c>
      <c r="G14" s="91">
        <v>9</v>
      </c>
      <c r="H14" s="91">
        <v>10</v>
      </c>
      <c r="I14" s="91">
        <v>10</v>
      </c>
      <c r="J14" s="91">
        <v>10</v>
      </c>
      <c r="K14" s="91">
        <v>10</v>
      </c>
      <c r="L14" s="91">
        <v>10</v>
      </c>
      <c r="M14" s="6">
        <v>10</v>
      </c>
      <c r="N14" s="8"/>
      <c r="O14" s="7">
        <v>5</v>
      </c>
      <c r="P14" s="8">
        <v>0</v>
      </c>
      <c r="R14" s="8"/>
      <c r="S14" s="8"/>
      <c r="T14" s="8"/>
      <c r="U14" s="8"/>
      <c r="V14" s="8"/>
      <c r="W14" s="8"/>
      <c r="X14" s="8"/>
      <c r="Y14" s="8"/>
      <c r="Z14" s="9"/>
      <c r="AB14" s="4"/>
      <c r="AC14" s="4"/>
      <c r="AE14" s="83"/>
      <c r="AF14" s="83"/>
      <c r="AG14" s="83"/>
      <c r="AH14" s="83"/>
      <c r="AJ14" s="35"/>
      <c r="AK14" s="23"/>
      <c r="AR14" s="23"/>
      <c r="AS14" s="23"/>
      <c r="AT14" s="23"/>
      <c r="AU14" s="23"/>
      <c r="AV14" s="23"/>
      <c r="AW14" s="23"/>
      <c r="AX14" s="23"/>
      <c r="AY14" s="23"/>
      <c r="AZ14" s="23"/>
    </row>
    <row r="15" spans="2:52" x14ac:dyDescent="0.25">
      <c r="B15" s="261"/>
      <c r="C15" s="91">
        <v>10</v>
      </c>
      <c r="D15" s="91">
        <v>10</v>
      </c>
      <c r="E15" s="91">
        <v>10</v>
      </c>
      <c r="F15" s="91">
        <v>10</v>
      </c>
      <c r="G15" s="91">
        <v>9</v>
      </c>
      <c r="H15" s="91">
        <v>10</v>
      </c>
      <c r="I15" s="91">
        <v>10</v>
      </c>
      <c r="J15" s="91">
        <v>10</v>
      </c>
      <c r="K15" s="91">
        <v>10</v>
      </c>
      <c r="L15" s="91">
        <v>10</v>
      </c>
      <c r="M15" s="6">
        <v>10</v>
      </c>
      <c r="N15" s="8"/>
      <c r="O15" s="7">
        <v>5</v>
      </c>
      <c r="P15" s="8">
        <v>0</v>
      </c>
      <c r="R15" s="8"/>
      <c r="S15" s="8"/>
      <c r="T15" s="8"/>
      <c r="U15" s="8"/>
      <c r="V15" s="8"/>
      <c r="W15" s="8"/>
      <c r="X15" s="8"/>
      <c r="Y15" s="8"/>
      <c r="Z15" s="9"/>
      <c r="AB15" s="4"/>
      <c r="AC15" s="4"/>
      <c r="AE15" s="8"/>
      <c r="AF15" s="8"/>
      <c r="AG15" s="8"/>
      <c r="AH15" s="8"/>
      <c r="AJ15" s="35"/>
      <c r="AK15" s="23"/>
      <c r="AR15" s="23"/>
      <c r="AS15" s="23"/>
      <c r="AT15" s="23"/>
      <c r="AU15" s="23"/>
      <c r="AV15" s="23"/>
      <c r="AW15" s="23"/>
      <c r="AX15" s="23"/>
      <c r="AY15" s="23"/>
      <c r="AZ15" s="23"/>
    </row>
    <row r="16" spans="2:52" x14ac:dyDescent="0.25">
      <c r="B16" s="261"/>
      <c r="C16" s="91">
        <v>9.5</v>
      </c>
      <c r="D16" s="91">
        <v>9</v>
      </c>
      <c r="E16" s="91">
        <v>9</v>
      </c>
      <c r="F16" s="91">
        <v>9</v>
      </c>
      <c r="G16" s="91">
        <v>8</v>
      </c>
      <c r="H16" s="91">
        <v>8</v>
      </c>
      <c r="I16" s="91">
        <v>9</v>
      </c>
      <c r="J16" s="91">
        <v>8</v>
      </c>
      <c r="K16" s="91">
        <v>8.5</v>
      </c>
      <c r="L16" s="91">
        <v>8.5</v>
      </c>
      <c r="M16" s="6">
        <v>9</v>
      </c>
      <c r="N16" s="8"/>
      <c r="O16" s="7">
        <v>5</v>
      </c>
      <c r="P16" s="8">
        <v>0</v>
      </c>
      <c r="R16" s="8"/>
      <c r="S16" s="8"/>
      <c r="T16" s="8"/>
      <c r="U16" s="8"/>
      <c r="V16" s="8"/>
      <c r="W16" s="8"/>
      <c r="X16" s="8"/>
      <c r="Y16" s="8"/>
      <c r="Z16" s="9"/>
      <c r="AB16" s="4"/>
      <c r="AC16" s="4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2:52" x14ac:dyDescent="0.25">
      <c r="B17" s="261"/>
      <c r="C17" s="91">
        <v>9.5</v>
      </c>
      <c r="D17" s="91">
        <v>9</v>
      </c>
      <c r="E17" s="91">
        <v>9</v>
      </c>
      <c r="F17" s="91">
        <v>9</v>
      </c>
      <c r="G17" s="91">
        <v>8</v>
      </c>
      <c r="H17" s="91">
        <v>8</v>
      </c>
      <c r="I17" s="91">
        <v>8.5</v>
      </c>
      <c r="J17" s="91">
        <v>8</v>
      </c>
      <c r="K17" s="91">
        <v>8.5</v>
      </c>
      <c r="L17" s="91">
        <v>8.5</v>
      </c>
      <c r="M17" s="6">
        <v>10</v>
      </c>
      <c r="N17" s="8"/>
      <c r="O17" s="7">
        <v>5</v>
      </c>
      <c r="P17" s="8">
        <v>0</v>
      </c>
      <c r="R17" s="8"/>
      <c r="S17" s="8"/>
      <c r="T17" s="8"/>
      <c r="U17" s="8"/>
      <c r="V17" s="8"/>
      <c r="W17" s="8"/>
      <c r="X17" s="8"/>
      <c r="Y17" s="8"/>
      <c r="Z17" s="9"/>
      <c r="AB17" s="5"/>
      <c r="AC17" s="5"/>
      <c r="AR17" s="23"/>
      <c r="AS17" s="23"/>
      <c r="AT17" s="23"/>
      <c r="AU17" s="23"/>
      <c r="AV17" s="23"/>
      <c r="AW17" s="23"/>
      <c r="AX17" s="23"/>
      <c r="AY17" s="23"/>
      <c r="AZ17" s="23"/>
    </row>
    <row r="18" spans="2:52" x14ac:dyDescent="0.25">
      <c r="B18" s="261"/>
      <c r="C18" s="91">
        <v>9.5</v>
      </c>
      <c r="D18" s="91">
        <v>9</v>
      </c>
      <c r="E18" s="91">
        <v>9</v>
      </c>
      <c r="F18" s="91">
        <v>10</v>
      </c>
      <c r="G18" s="91">
        <v>9</v>
      </c>
      <c r="H18" s="91">
        <v>9.5</v>
      </c>
      <c r="I18" s="91">
        <v>9.5</v>
      </c>
      <c r="J18" s="91">
        <v>8</v>
      </c>
      <c r="K18" s="91">
        <v>8.5</v>
      </c>
      <c r="L18" s="91">
        <v>10</v>
      </c>
      <c r="M18" s="6">
        <v>8.5</v>
      </c>
      <c r="N18" s="8"/>
      <c r="O18" s="7">
        <v>5</v>
      </c>
      <c r="P18" s="8">
        <v>0</v>
      </c>
      <c r="R18" s="8"/>
      <c r="S18" s="8"/>
      <c r="T18" s="8"/>
      <c r="U18" s="8"/>
      <c r="V18" s="8"/>
      <c r="W18" s="8"/>
      <c r="X18" s="8"/>
      <c r="Y18" s="8"/>
      <c r="Z18" s="9"/>
      <c r="AB18" s="4"/>
      <c r="AC18" s="4"/>
      <c r="AR18" s="23"/>
      <c r="AS18" s="23"/>
      <c r="AT18" s="23"/>
      <c r="AU18" s="23"/>
      <c r="AV18" s="23"/>
      <c r="AW18" s="23"/>
      <c r="AX18" s="23"/>
      <c r="AY18" s="23"/>
      <c r="AZ18" s="23"/>
    </row>
    <row r="19" spans="2:52" x14ac:dyDescent="0.25">
      <c r="B19" s="261"/>
      <c r="C19" s="91">
        <v>9.5</v>
      </c>
      <c r="D19" s="91">
        <v>10</v>
      </c>
      <c r="E19" s="91">
        <v>10</v>
      </c>
      <c r="F19" s="91">
        <v>10</v>
      </c>
      <c r="G19" s="91">
        <v>10</v>
      </c>
      <c r="H19" s="91">
        <v>9.5</v>
      </c>
      <c r="I19" s="91">
        <v>9.5</v>
      </c>
      <c r="J19" s="91">
        <v>9.5</v>
      </c>
      <c r="K19" s="91">
        <v>9</v>
      </c>
      <c r="L19" s="91">
        <v>8</v>
      </c>
      <c r="M19" s="6">
        <v>9</v>
      </c>
      <c r="N19" s="8"/>
      <c r="O19" s="7">
        <v>5</v>
      </c>
      <c r="P19" s="8">
        <v>0</v>
      </c>
      <c r="R19" s="8"/>
      <c r="S19" s="8"/>
      <c r="T19" s="8"/>
      <c r="U19" s="8"/>
      <c r="V19" s="8"/>
      <c r="W19" s="8"/>
      <c r="X19" s="8"/>
      <c r="Y19" s="8"/>
      <c r="Z19" s="9"/>
      <c r="AR19" s="23"/>
      <c r="AS19" s="23"/>
      <c r="AT19" s="23"/>
      <c r="AU19" s="23"/>
      <c r="AV19" s="23"/>
      <c r="AW19" s="23"/>
      <c r="AX19" s="23"/>
      <c r="AY19" s="23"/>
      <c r="AZ19" s="23"/>
    </row>
    <row r="20" spans="2:52" x14ac:dyDescent="0.25">
      <c r="B20" s="261"/>
      <c r="C20" s="91">
        <v>9.5</v>
      </c>
      <c r="D20" s="91">
        <v>10</v>
      </c>
      <c r="E20" s="91">
        <v>10</v>
      </c>
      <c r="F20" s="91">
        <v>10</v>
      </c>
      <c r="G20" s="91">
        <v>10</v>
      </c>
      <c r="H20" s="91">
        <v>9.5</v>
      </c>
      <c r="I20" s="91">
        <v>9.5</v>
      </c>
      <c r="J20" s="91">
        <v>10</v>
      </c>
      <c r="K20" s="91">
        <v>9</v>
      </c>
      <c r="L20" s="91">
        <v>9</v>
      </c>
      <c r="M20" s="6">
        <v>10</v>
      </c>
      <c r="N20" s="8"/>
      <c r="O20" s="7">
        <v>5</v>
      </c>
      <c r="P20" s="8">
        <v>0</v>
      </c>
      <c r="R20" s="8"/>
      <c r="S20" s="8"/>
      <c r="T20" s="8"/>
      <c r="U20" s="8"/>
      <c r="V20" s="8"/>
      <c r="W20" s="8"/>
      <c r="X20" s="8"/>
      <c r="Y20" s="8"/>
      <c r="Z20" s="9"/>
      <c r="AB20" s="4"/>
      <c r="AC20" s="4"/>
      <c r="AR20" s="23"/>
      <c r="AS20" s="23"/>
      <c r="AT20" s="23"/>
      <c r="AU20" s="23"/>
      <c r="AV20" s="23"/>
      <c r="AW20" s="23"/>
      <c r="AX20" s="23"/>
      <c r="AY20" s="23"/>
      <c r="AZ20" s="23"/>
    </row>
    <row r="21" spans="2:52" x14ac:dyDescent="0.25">
      <c r="B21" s="261"/>
      <c r="C21" s="91">
        <v>9.5</v>
      </c>
      <c r="D21" s="91">
        <v>10</v>
      </c>
      <c r="E21" s="91">
        <v>10</v>
      </c>
      <c r="F21" s="91">
        <v>10</v>
      </c>
      <c r="G21" s="91">
        <v>10</v>
      </c>
      <c r="H21" s="91">
        <v>9.5</v>
      </c>
      <c r="I21" s="91">
        <v>9.5</v>
      </c>
      <c r="J21" s="91">
        <v>10</v>
      </c>
      <c r="K21" s="91">
        <v>9</v>
      </c>
      <c r="L21" s="91">
        <v>9.5</v>
      </c>
      <c r="M21" s="6">
        <v>10</v>
      </c>
      <c r="N21" s="8"/>
      <c r="O21" s="7">
        <v>5</v>
      </c>
      <c r="P21" s="8">
        <v>0</v>
      </c>
      <c r="R21" s="8"/>
      <c r="S21" s="8"/>
      <c r="T21" s="8"/>
      <c r="U21" s="8"/>
      <c r="V21" s="8"/>
      <c r="W21" s="8"/>
      <c r="X21" s="8"/>
      <c r="Y21" s="8"/>
      <c r="Z21" s="9"/>
      <c r="AB21" s="4"/>
      <c r="AC21" s="4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2:52" x14ac:dyDescent="0.25">
      <c r="B22" s="261"/>
      <c r="C22" s="91">
        <v>9.5</v>
      </c>
      <c r="D22" s="91">
        <v>9</v>
      </c>
      <c r="E22" s="91">
        <v>10</v>
      </c>
      <c r="F22" s="91">
        <v>10</v>
      </c>
      <c r="G22" s="91">
        <v>10</v>
      </c>
      <c r="H22" s="91">
        <v>9.5</v>
      </c>
      <c r="I22" s="91">
        <v>9.5</v>
      </c>
      <c r="J22" s="91">
        <v>10</v>
      </c>
      <c r="K22" s="91">
        <v>10</v>
      </c>
      <c r="L22" s="91">
        <v>9.5</v>
      </c>
      <c r="M22" s="6">
        <v>10</v>
      </c>
      <c r="N22" s="8"/>
      <c r="O22" s="7">
        <v>5</v>
      </c>
      <c r="P22" s="8">
        <v>0</v>
      </c>
      <c r="R22" s="8"/>
      <c r="S22" s="8"/>
      <c r="T22" s="8"/>
      <c r="U22" s="8"/>
      <c r="V22" s="8"/>
      <c r="W22" s="8"/>
      <c r="X22" s="8"/>
      <c r="Y22" s="8"/>
      <c r="Z22" s="9"/>
      <c r="AB22" s="4"/>
      <c r="AC22" s="4"/>
      <c r="AR22" s="23"/>
      <c r="AS22" s="23"/>
      <c r="AT22" s="23"/>
      <c r="AU22" s="23"/>
      <c r="AV22" s="23"/>
      <c r="AW22" s="23"/>
      <c r="AX22" s="23"/>
      <c r="AY22" s="23"/>
      <c r="AZ22" s="23"/>
    </row>
    <row r="23" spans="2:52" x14ac:dyDescent="0.25">
      <c r="B23" s="261"/>
      <c r="C23" s="91">
        <v>9.5</v>
      </c>
      <c r="D23" s="91">
        <v>9</v>
      </c>
      <c r="E23" s="91">
        <v>10</v>
      </c>
      <c r="F23" s="91">
        <v>10</v>
      </c>
      <c r="G23" s="91">
        <v>10</v>
      </c>
      <c r="H23" s="91">
        <v>9.5</v>
      </c>
      <c r="I23" s="91">
        <v>9.5</v>
      </c>
      <c r="J23" s="91">
        <v>9</v>
      </c>
      <c r="K23" s="91">
        <v>10</v>
      </c>
      <c r="L23" s="91">
        <v>10</v>
      </c>
      <c r="M23" s="6">
        <v>10</v>
      </c>
      <c r="N23" s="8"/>
      <c r="O23" s="7">
        <v>5</v>
      </c>
      <c r="P23" s="8">
        <v>0</v>
      </c>
      <c r="R23" s="8"/>
      <c r="S23" s="8"/>
      <c r="T23" s="8"/>
      <c r="U23" s="8"/>
      <c r="V23" s="8"/>
      <c r="W23" s="8"/>
      <c r="X23" s="8"/>
      <c r="Y23" s="8"/>
      <c r="Z23" s="9"/>
      <c r="AB23" s="5"/>
      <c r="AC23" s="5"/>
      <c r="AR23" s="23"/>
      <c r="AS23" s="23"/>
      <c r="AT23" s="23"/>
      <c r="AU23" s="23"/>
      <c r="AV23" s="23"/>
      <c r="AW23" s="23"/>
      <c r="AX23" s="23"/>
      <c r="AY23" s="23"/>
      <c r="AZ23" s="23"/>
    </row>
    <row r="24" spans="2:52" x14ac:dyDescent="0.25">
      <c r="B24" s="261"/>
      <c r="C24" s="91">
        <v>9.5</v>
      </c>
      <c r="D24" s="91">
        <v>9</v>
      </c>
      <c r="E24" s="91">
        <v>10</v>
      </c>
      <c r="F24" s="91">
        <v>10</v>
      </c>
      <c r="G24" s="91">
        <v>10</v>
      </c>
      <c r="H24" s="91">
        <v>9.5</v>
      </c>
      <c r="I24" s="91">
        <v>9.5</v>
      </c>
      <c r="J24" s="91">
        <v>9</v>
      </c>
      <c r="K24" s="91">
        <v>10</v>
      </c>
      <c r="L24" s="91">
        <v>9</v>
      </c>
      <c r="M24" s="6">
        <v>10</v>
      </c>
      <c r="N24" s="8"/>
      <c r="O24" s="7">
        <v>4</v>
      </c>
      <c r="P24" s="8"/>
      <c r="Q24" s="8">
        <v>1</v>
      </c>
      <c r="S24" s="8"/>
      <c r="T24" s="8"/>
      <c r="U24" s="8"/>
      <c r="V24" s="8"/>
      <c r="W24" s="8"/>
      <c r="X24" s="8"/>
      <c r="Y24" s="8"/>
      <c r="Z24" s="9"/>
      <c r="AB24" s="4"/>
      <c r="AC24" s="4"/>
      <c r="AR24" s="23"/>
      <c r="AS24" s="23"/>
      <c r="AT24" s="23"/>
      <c r="AU24" s="23"/>
      <c r="AV24" s="23"/>
      <c r="AW24" s="23"/>
      <c r="AX24" s="23"/>
      <c r="AY24" s="23"/>
      <c r="AZ24" s="23"/>
    </row>
    <row r="25" spans="2:52" x14ac:dyDescent="0.25">
      <c r="B25" s="262"/>
      <c r="C25" s="18">
        <v>9.5</v>
      </c>
      <c r="D25" s="18">
        <v>9</v>
      </c>
      <c r="E25" s="18">
        <v>10</v>
      </c>
      <c r="F25" s="18">
        <v>10</v>
      </c>
      <c r="G25" s="18">
        <v>10</v>
      </c>
      <c r="H25" s="18">
        <v>9.5</v>
      </c>
      <c r="I25" s="18">
        <v>9.5</v>
      </c>
      <c r="J25" s="18">
        <v>9</v>
      </c>
      <c r="K25" s="18">
        <v>10</v>
      </c>
      <c r="L25" s="18">
        <v>10</v>
      </c>
      <c r="M25" s="19">
        <v>10</v>
      </c>
      <c r="N25" s="8"/>
      <c r="O25" s="7">
        <v>5</v>
      </c>
      <c r="P25" s="8"/>
      <c r="Q25" s="8">
        <v>0</v>
      </c>
      <c r="S25" s="8"/>
      <c r="T25" s="8"/>
      <c r="U25" s="8"/>
      <c r="V25" s="8"/>
      <c r="W25" s="8"/>
      <c r="X25" s="8"/>
      <c r="Y25" s="8"/>
      <c r="Z25" s="9"/>
      <c r="AB25" s="31"/>
      <c r="AC25" s="31"/>
      <c r="AR25" s="8"/>
      <c r="AS25" s="8"/>
      <c r="AT25" s="8"/>
      <c r="AU25" s="8"/>
      <c r="AV25" s="8"/>
      <c r="AW25" s="8"/>
      <c r="AX25" s="8"/>
      <c r="AY25" s="8"/>
      <c r="AZ25" s="8"/>
    </row>
    <row r="26" spans="2:52" x14ac:dyDescent="0.25">
      <c r="B26" s="260" t="s">
        <v>49</v>
      </c>
      <c r="C26" s="91">
        <v>9</v>
      </c>
      <c r="D26" s="91">
        <v>10</v>
      </c>
      <c r="E26" s="91">
        <v>9</v>
      </c>
      <c r="F26" s="91">
        <v>8</v>
      </c>
      <c r="G26" s="91">
        <v>10</v>
      </c>
      <c r="H26" s="91">
        <v>9</v>
      </c>
      <c r="I26" s="91">
        <v>9</v>
      </c>
      <c r="J26" s="91">
        <v>10</v>
      </c>
      <c r="K26" s="91">
        <v>0</v>
      </c>
      <c r="L26" s="91">
        <v>0</v>
      </c>
      <c r="M26" s="6">
        <v>10</v>
      </c>
      <c r="N26" s="8"/>
      <c r="O26" s="7">
        <v>5</v>
      </c>
      <c r="P26" s="8"/>
      <c r="Q26" s="8">
        <v>0</v>
      </c>
      <c r="S26" s="8"/>
      <c r="T26" s="8"/>
      <c r="U26" s="8"/>
      <c r="V26" s="8"/>
      <c r="W26" s="8"/>
      <c r="X26" s="8"/>
      <c r="Y26" s="8"/>
      <c r="Z26" s="9"/>
      <c r="AB26" s="40"/>
      <c r="AC26" s="4"/>
      <c r="AR26" s="4"/>
      <c r="AS26" s="4"/>
      <c r="AT26" s="4"/>
      <c r="AU26" s="4"/>
      <c r="AV26" s="4"/>
      <c r="AW26" s="4"/>
      <c r="AX26" s="4"/>
      <c r="AY26" s="4"/>
      <c r="AZ26" s="4"/>
    </row>
    <row r="27" spans="2:52" x14ac:dyDescent="0.25">
      <c r="B27" s="261"/>
      <c r="C27" s="91">
        <v>9</v>
      </c>
      <c r="D27" s="91">
        <v>10</v>
      </c>
      <c r="E27" s="91">
        <v>9</v>
      </c>
      <c r="F27" s="91">
        <v>9.5</v>
      </c>
      <c r="G27" s="91">
        <v>10</v>
      </c>
      <c r="H27" s="91">
        <v>9</v>
      </c>
      <c r="I27" s="91">
        <v>10</v>
      </c>
      <c r="J27" s="91">
        <v>10</v>
      </c>
      <c r="K27" s="91">
        <v>9</v>
      </c>
      <c r="L27" s="91">
        <v>9.5</v>
      </c>
      <c r="M27" s="6">
        <v>10</v>
      </c>
      <c r="N27" s="8"/>
      <c r="O27" s="7">
        <v>5</v>
      </c>
      <c r="P27" s="8"/>
      <c r="Q27" s="8">
        <v>0</v>
      </c>
      <c r="S27" s="8"/>
      <c r="T27" s="8"/>
      <c r="U27" s="8"/>
      <c r="V27" s="8"/>
      <c r="W27" s="8"/>
      <c r="X27" s="8"/>
      <c r="Y27" s="8"/>
      <c r="Z27" s="9"/>
      <c r="AB27" s="40"/>
      <c r="AC27" s="4"/>
      <c r="AR27" s="4"/>
      <c r="AS27" s="4"/>
      <c r="AT27" s="4"/>
      <c r="AU27" s="4"/>
      <c r="AV27" s="4"/>
      <c r="AW27" s="4"/>
      <c r="AX27" s="4"/>
      <c r="AY27" s="4"/>
      <c r="AZ27" s="4"/>
    </row>
    <row r="28" spans="2:52" x14ac:dyDescent="0.25">
      <c r="B28" s="261"/>
      <c r="C28" s="91">
        <v>9</v>
      </c>
      <c r="D28" s="91">
        <v>10</v>
      </c>
      <c r="E28" s="91">
        <v>9.5</v>
      </c>
      <c r="F28" s="91">
        <v>10</v>
      </c>
      <c r="G28" s="91">
        <v>10</v>
      </c>
      <c r="H28" s="91">
        <v>10</v>
      </c>
      <c r="I28" s="91">
        <v>10</v>
      </c>
      <c r="J28" s="91">
        <v>10</v>
      </c>
      <c r="K28" s="91">
        <v>10</v>
      </c>
      <c r="L28" s="91">
        <v>9.5</v>
      </c>
      <c r="M28" s="6">
        <v>10</v>
      </c>
      <c r="N28" s="8"/>
      <c r="O28" s="7">
        <v>5</v>
      </c>
      <c r="P28" s="8"/>
      <c r="Q28" s="8">
        <v>0</v>
      </c>
      <c r="S28" s="8"/>
      <c r="T28" s="8"/>
      <c r="U28" s="8"/>
      <c r="V28" s="8"/>
      <c r="W28" s="8"/>
      <c r="X28" s="8"/>
      <c r="Y28" s="8"/>
      <c r="Z28" s="9"/>
      <c r="AB28" s="40"/>
      <c r="AC28" s="4"/>
      <c r="AR28" s="4"/>
      <c r="AS28" s="4"/>
      <c r="AT28" s="4"/>
      <c r="AU28" s="4"/>
      <c r="AV28" s="4"/>
      <c r="AW28" s="4"/>
      <c r="AX28" s="4"/>
      <c r="AY28" s="4"/>
      <c r="AZ28" s="4"/>
    </row>
    <row r="29" spans="2:52" x14ac:dyDescent="0.25">
      <c r="B29" s="261"/>
      <c r="C29" s="91">
        <v>9</v>
      </c>
      <c r="D29" s="91">
        <v>10</v>
      </c>
      <c r="E29" s="91">
        <v>10</v>
      </c>
      <c r="F29" s="91">
        <v>10</v>
      </c>
      <c r="G29" s="91">
        <v>10</v>
      </c>
      <c r="H29" s="91">
        <v>10</v>
      </c>
      <c r="I29" s="91">
        <v>10</v>
      </c>
      <c r="J29" s="91">
        <v>10</v>
      </c>
      <c r="K29" s="91">
        <v>10</v>
      </c>
      <c r="L29" s="91">
        <v>10</v>
      </c>
      <c r="M29" s="6">
        <v>10</v>
      </c>
      <c r="N29" s="8"/>
      <c r="O29" s="7">
        <v>5</v>
      </c>
      <c r="P29" s="8"/>
      <c r="Q29" s="8">
        <v>0</v>
      </c>
      <c r="S29" s="8"/>
      <c r="T29" s="8"/>
      <c r="U29" s="8"/>
      <c r="V29" s="8"/>
      <c r="W29" s="8"/>
      <c r="X29" s="8"/>
      <c r="Y29" s="8"/>
      <c r="Z29" s="9"/>
      <c r="AB29" s="40"/>
      <c r="AC29" s="4"/>
      <c r="AR29" s="4"/>
      <c r="AS29" s="4"/>
      <c r="AT29" s="4"/>
      <c r="AU29" s="4"/>
      <c r="AV29" s="4"/>
      <c r="AW29" s="4"/>
      <c r="AX29" s="4"/>
      <c r="AY29" s="4"/>
      <c r="AZ29" s="4"/>
    </row>
    <row r="30" spans="2:52" x14ac:dyDescent="0.25">
      <c r="B30" s="261"/>
      <c r="C30" s="91">
        <v>9.5</v>
      </c>
      <c r="D30" s="91">
        <v>10</v>
      </c>
      <c r="E30" s="91">
        <v>10</v>
      </c>
      <c r="F30" s="91">
        <v>10</v>
      </c>
      <c r="G30" s="91">
        <v>10</v>
      </c>
      <c r="H30" s="91">
        <v>10</v>
      </c>
      <c r="I30" s="91">
        <v>10</v>
      </c>
      <c r="J30" s="91">
        <v>10</v>
      </c>
      <c r="K30" s="91">
        <v>10</v>
      </c>
      <c r="L30" s="91">
        <v>10</v>
      </c>
      <c r="M30" s="6">
        <v>10</v>
      </c>
      <c r="N30" s="8"/>
      <c r="O30" s="7">
        <v>5</v>
      </c>
      <c r="P30" s="8"/>
      <c r="Q30" s="8">
        <v>0</v>
      </c>
      <c r="S30" s="8"/>
      <c r="T30" s="8"/>
      <c r="U30" s="8"/>
      <c r="V30" s="8"/>
      <c r="W30" s="8"/>
      <c r="X30" s="8"/>
      <c r="Y30" s="8"/>
      <c r="Z30" s="9"/>
      <c r="AB30" s="40"/>
      <c r="AC30" s="4"/>
      <c r="AR30" s="5"/>
      <c r="AS30" s="5"/>
      <c r="AT30" s="5"/>
      <c r="AU30" s="5"/>
      <c r="AV30" s="5"/>
      <c r="AW30" s="5"/>
      <c r="AX30" s="5"/>
      <c r="AY30" s="5"/>
      <c r="AZ30" s="5"/>
    </row>
    <row r="31" spans="2:52" x14ac:dyDescent="0.25">
      <c r="B31" s="261"/>
      <c r="C31" s="91">
        <v>10</v>
      </c>
      <c r="D31" s="91">
        <v>10</v>
      </c>
      <c r="E31" s="91">
        <v>10</v>
      </c>
      <c r="F31" s="91">
        <v>10</v>
      </c>
      <c r="G31" s="91">
        <v>10</v>
      </c>
      <c r="H31" s="91">
        <v>10</v>
      </c>
      <c r="I31" s="91">
        <v>10</v>
      </c>
      <c r="J31" s="91">
        <v>10</v>
      </c>
      <c r="K31" s="91">
        <v>10</v>
      </c>
      <c r="L31" s="91">
        <v>10</v>
      </c>
      <c r="M31" s="6">
        <v>10</v>
      </c>
      <c r="N31" s="8"/>
      <c r="O31" s="7">
        <v>5</v>
      </c>
      <c r="P31" s="8"/>
      <c r="Q31" s="8">
        <v>0</v>
      </c>
      <c r="S31" s="8"/>
      <c r="T31" s="8"/>
      <c r="U31" s="8"/>
      <c r="V31" s="8"/>
      <c r="W31" s="8"/>
      <c r="X31" s="8"/>
      <c r="Y31" s="8"/>
      <c r="Z31" s="9"/>
      <c r="AB31" s="40"/>
      <c r="AC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2:52" x14ac:dyDescent="0.25">
      <c r="B32" s="261"/>
      <c r="C32" s="91">
        <v>10</v>
      </c>
      <c r="D32" s="91">
        <v>10</v>
      </c>
      <c r="E32" s="91">
        <v>10</v>
      </c>
      <c r="F32" s="91">
        <v>10</v>
      </c>
      <c r="G32" s="91">
        <v>10</v>
      </c>
      <c r="H32" s="91">
        <v>10</v>
      </c>
      <c r="I32" s="91">
        <v>10</v>
      </c>
      <c r="J32" s="91">
        <v>10</v>
      </c>
      <c r="K32" s="91">
        <v>10</v>
      </c>
      <c r="L32" s="91">
        <v>10</v>
      </c>
      <c r="M32" s="6">
        <v>10</v>
      </c>
      <c r="N32" s="8"/>
      <c r="O32" s="7">
        <v>5</v>
      </c>
      <c r="P32" s="8"/>
      <c r="Q32" s="8">
        <v>0</v>
      </c>
      <c r="S32" s="8"/>
      <c r="T32" s="8"/>
      <c r="U32" s="8"/>
      <c r="V32" s="8"/>
      <c r="W32" s="8"/>
      <c r="X32" s="8"/>
      <c r="Y32" s="8"/>
      <c r="Z32" s="9"/>
      <c r="AB32" s="40"/>
      <c r="AC32" s="4"/>
    </row>
    <row r="33" spans="2:52" x14ac:dyDescent="0.25">
      <c r="B33" s="261"/>
      <c r="C33" s="91">
        <v>10</v>
      </c>
      <c r="D33" s="91">
        <v>10</v>
      </c>
      <c r="E33" s="91">
        <v>10</v>
      </c>
      <c r="F33" s="91">
        <v>10</v>
      </c>
      <c r="G33" s="91">
        <v>10</v>
      </c>
      <c r="H33" s="91">
        <v>10</v>
      </c>
      <c r="I33" s="91">
        <v>10</v>
      </c>
      <c r="J33" s="91">
        <v>10</v>
      </c>
      <c r="K33" s="91">
        <v>10</v>
      </c>
      <c r="L33" s="91">
        <v>10</v>
      </c>
      <c r="M33" s="6">
        <v>10</v>
      </c>
      <c r="N33" s="8"/>
      <c r="O33" s="7">
        <v>5</v>
      </c>
      <c r="P33" s="8"/>
      <c r="Q33" s="8">
        <v>0</v>
      </c>
      <c r="S33" s="8"/>
      <c r="T33" s="8"/>
      <c r="U33" s="8"/>
      <c r="V33" s="8"/>
      <c r="W33" s="8"/>
      <c r="X33" s="8"/>
      <c r="Y33" s="8"/>
      <c r="Z33" s="9"/>
      <c r="AB33" s="40"/>
      <c r="AC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2:52" x14ac:dyDescent="0.25">
      <c r="B34" s="261"/>
      <c r="C34" s="91">
        <v>10</v>
      </c>
      <c r="D34" s="91">
        <v>10</v>
      </c>
      <c r="E34" s="91">
        <v>10</v>
      </c>
      <c r="F34" s="91">
        <v>10</v>
      </c>
      <c r="G34" s="91">
        <v>10</v>
      </c>
      <c r="H34" s="91">
        <v>10</v>
      </c>
      <c r="I34" s="91">
        <v>10</v>
      </c>
      <c r="J34" s="91">
        <v>10</v>
      </c>
      <c r="K34" s="91">
        <v>10</v>
      </c>
      <c r="L34" s="91">
        <v>10</v>
      </c>
      <c r="M34" s="6">
        <v>10</v>
      </c>
      <c r="N34" s="8"/>
      <c r="O34" s="7">
        <v>5</v>
      </c>
      <c r="P34" s="8"/>
      <c r="Q34" s="8">
        <v>0</v>
      </c>
      <c r="T34" s="8"/>
      <c r="U34" s="8"/>
      <c r="V34" s="8"/>
      <c r="W34" s="8"/>
      <c r="X34" s="8"/>
      <c r="Y34" s="8"/>
      <c r="Z34" s="9"/>
      <c r="AB34" s="40"/>
      <c r="AC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2:52" x14ac:dyDescent="0.25">
      <c r="B35" s="261"/>
      <c r="C35" s="91">
        <v>10</v>
      </c>
      <c r="D35" s="91">
        <v>10</v>
      </c>
      <c r="E35" s="91">
        <v>10</v>
      </c>
      <c r="F35" s="91">
        <v>10</v>
      </c>
      <c r="G35" s="91">
        <v>10</v>
      </c>
      <c r="H35" s="91">
        <v>10</v>
      </c>
      <c r="I35" s="91">
        <v>10</v>
      </c>
      <c r="J35" s="91">
        <v>10</v>
      </c>
      <c r="K35" s="91">
        <v>10</v>
      </c>
      <c r="L35" s="91">
        <v>10</v>
      </c>
      <c r="M35" s="6">
        <v>10</v>
      </c>
      <c r="N35" s="8"/>
      <c r="O35" s="7">
        <v>5</v>
      </c>
      <c r="P35" s="8"/>
      <c r="Q35" s="8">
        <v>0</v>
      </c>
      <c r="T35" s="8"/>
      <c r="U35" s="8"/>
      <c r="V35" s="8"/>
      <c r="W35" s="8"/>
      <c r="X35" s="8"/>
      <c r="Y35" s="8"/>
      <c r="Z35" s="9"/>
      <c r="AB35" s="40"/>
      <c r="AC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2:52" x14ac:dyDescent="0.25">
      <c r="B36" s="261"/>
      <c r="C36" s="91">
        <v>8</v>
      </c>
      <c r="D36" s="91">
        <v>9</v>
      </c>
      <c r="E36" s="91">
        <v>9</v>
      </c>
      <c r="F36" s="91">
        <v>8.5</v>
      </c>
      <c r="G36" s="91">
        <v>8.5</v>
      </c>
      <c r="H36" s="91">
        <v>9</v>
      </c>
      <c r="I36" s="91">
        <v>8</v>
      </c>
      <c r="J36" s="91">
        <v>8.5</v>
      </c>
      <c r="K36" s="91">
        <v>8</v>
      </c>
      <c r="L36" s="91">
        <v>8</v>
      </c>
      <c r="M36" s="6">
        <v>8</v>
      </c>
      <c r="N36" s="8"/>
      <c r="O36" s="7">
        <v>5</v>
      </c>
      <c r="P36" s="8"/>
      <c r="Q36" s="8">
        <v>0</v>
      </c>
      <c r="T36" s="8"/>
      <c r="U36" s="8"/>
      <c r="V36" s="8"/>
      <c r="W36" s="8"/>
      <c r="X36" s="8"/>
      <c r="Y36" s="8"/>
      <c r="Z36" s="9"/>
      <c r="AB36" s="40"/>
      <c r="AC36" s="4"/>
      <c r="AR36" s="5"/>
      <c r="AS36" s="5"/>
      <c r="AT36" s="5"/>
      <c r="AU36" s="5"/>
      <c r="AV36" s="5"/>
      <c r="AW36" s="5"/>
      <c r="AX36" s="5"/>
      <c r="AY36" s="5"/>
      <c r="AZ36" s="5"/>
    </row>
    <row r="37" spans="2:52" x14ac:dyDescent="0.25">
      <c r="B37" s="261"/>
      <c r="C37" s="91">
        <v>8</v>
      </c>
      <c r="D37" s="91">
        <v>10</v>
      </c>
      <c r="E37" s="91">
        <v>9</v>
      </c>
      <c r="F37" s="91">
        <v>9.5</v>
      </c>
      <c r="G37" s="91">
        <v>9.5</v>
      </c>
      <c r="H37" s="91">
        <v>10</v>
      </c>
      <c r="I37" s="91">
        <v>8.5</v>
      </c>
      <c r="J37" s="91">
        <v>8.5</v>
      </c>
      <c r="K37" s="91">
        <v>8</v>
      </c>
      <c r="L37" s="91">
        <v>8</v>
      </c>
      <c r="M37" s="6">
        <v>9</v>
      </c>
      <c r="N37" s="8"/>
      <c r="O37" s="7">
        <v>5</v>
      </c>
      <c r="P37" s="8"/>
      <c r="Q37" s="8">
        <v>0</v>
      </c>
      <c r="T37" s="8"/>
      <c r="U37" s="8"/>
      <c r="V37" s="8"/>
      <c r="W37" s="8"/>
      <c r="X37" s="8"/>
      <c r="Y37" s="8"/>
      <c r="Z37" s="9"/>
      <c r="AB37" s="40"/>
      <c r="AC37" s="4"/>
      <c r="AR37" s="5"/>
      <c r="AS37" s="5"/>
      <c r="AT37" s="5"/>
      <c r="AU37" s="5"/>
      <c r="AV37" s="5"/>
      <c r="AW37" s="5"/>
      <c r="AX37" s="5"/>
      <c r="AY37" s="5"/>
      <c r="AZ37" s="5"/>
    </row>
    <row r="38" spans="2:52" x14ac:dyDescent="0.25">
      <c r="B38" s="261"/>
      <c r="C38" s="91">
        <v>9</v>
      </c>
      <c r="D38" s="91">
        <v>10</v>
      </c>
      <c r="E38" s="91">
        <v>9</v>
      </c>
      <c r="F38" s="91">
        <v>9</v>
      </c>
      <c r="G38" s="91">
        <v>9</v>
      </c>
      <c r="H38" s="91">
        <v>9</v>
      </c>
      <c r="I38" s="91">
        <v>8</v>
      </c>
      <c r="J38" s="91">
        <v>8.5</v>
      </c>
      <c r="K38" s="91">
        <v>8</v>
      </c>
      <c r="L38" s="91">
        <v>8.5</v>
      </c>
      <c r="M38" s="6">
        <v>8</v>
      </c>
      <c r="N38" s="8"/>
      <c r="O38" s="7">
        <v>5</v>
      </c>
      <c r="P38" s="8"/>
      <c r="Q38" s="8">
        <v>0</v>
      </c>
      <c r="T38" s="8"/>
      <c r="U38" s="8"/>
      <c r="V38" s="8"/>
      <c r="W38" s="8"/>
      <c r="X38" s="8"/>
      <c r="Y38" s="8"/>
      <c r="Z38" s="9"/>
      <c r="AB38" s="40"/>
      <c r="AC38" s="4"/>
      <c r="AR38" s="31"/>
      <c r="AS38" s="31"/>
      <c r="AT38" s="31"/>
      <c r="AU38" s="31"/>
      <c r="AV38" s="31"/>
      <c r="AW38" s="31"/>
      <c r="AX38" s="31"/>
      <c r="AY38" s="31"/>
      <c r="AZ38" s="31"/>
    </row>
    <row r="39" spans="2:52" x14ac:dyDescent="0.25">
      <c r="B39" s="261"/>
      <c r="C39" s="91">
        <v>9</v>
      </c>
      <c r="D39" s="91">
        <v>10</v>
      </c>
      <c r="E39" s="91">
        <v>10</v>
      </c>
      <c r="F39" s="91">
        <v>9</v>
      </c>
      <c r="G39" s="91">
        <v>9</v>
      </c>
      <c r="H39" s="91">
        <v>10</v>
      </c>
      <c r="I39" s="91">
        <v>8.5</v>
      </c>
      <c r="J39" s="91">
        <v>9.5</v>
      </c>
      <c r="K39" s="91">
        <v>8.5</v>
      </c>
      <c r="L39" s="91">
        <v>8.5</v>
      </c>
      <c r="M39" s="6">
        <v>9</v>
      </c>
      <c r="N39" s="8"/>
      <c r="O39" s="7">
        <v>5</v>
      </c>
      <c r="P39" s="8"/>
      <c r="Q39" s="8">
        <v>0</v>
      </c>
      <c r="T39" s="8"/>
      <c r="U39" s="8"/>
      <c r="V39" s="8"/>
      <c r="W39" s="8"/>
      <c r="X39" s="8"/>
      <c r="Y39" s="8"/>
      <c r="Z39" s="9"/>
      <c r="AB39" s="40"/>
      <c r="AC39" s="4"/>
      <c r="AR39" s="5"/>
      <c r="AS39" s="5"/>
      <c r="AT39" s="5"/>
      <c r="AU39" s="5"/>
      <c r="AV39" s="5"/>
      <c r="AW39" s="5"/>
      <c r="AX39" s="5"/>
      <c r="AY39" s="5"/>
      <c r="AZ39" s="5"/>
    </row>
    <row r="40" spans="2:52" x14ac:dyDescent="0.25">
      <c r="B40" s="261"/>
      <c r="C40" s="91">
        <v>10</v>
      </c>
      <c r="D40" s="91">
        <v>10</v>
      </c>
      <c r="E40" s="91">
        <v>10</v>
      </c>
      <c r="F40" s="91">
        <v>9</v>
      </c>
      <c r="G40" s="91">
        <v>9</v>
      </c>
      <c r="H40" s="91">
        <v>9</v>
      </c>
      <c r="I40" s="91">
        <v>8.5</v>
      </c>
      <c r="J40" s="91">
        <v>9</v>
      </c>
      <c r="K40" s="91">
        <v>10</v>
      </c>
      <c r="L40" s="91">
        <v>8.5</v>
      </c>
      <c r="M40" s="6">
        <v>8.5</v>
      </c>
      <c r="N40" s="8"/>
      <c r="O40" s="7">
        <v>5</v>
      </c>
      <c r="P40" s="8"/>
      <c r="Q40" s="8">
        <v>0</v>
      </c>
      <c r="T40" s="8"/>
      <c r="U40" s="8"/>
      <c r="V40" s="8"/>
      <c r="W40" s="8"/>
      <c r="X40" s="8"/>
      <c r="Y40" s="8"/>
      <c r="Z40" s="9"/>
      <c r="AB40" s="40"/>
      <c r="AC40" s="4"/>
      <c r="AR40" s="5"/>
      <c r="AS40" s="5"/>
      <c r="AT40" s="5"/>
      <c r="AU40" s="5"/>
      <c r="AV40" s="5"/>
      <c r="AW40" s="5"/>
      <c r="AX40" s="5"/>
      <c r="AY40" s="5"/>
      <c r="AZ40" s="5"/>
    </row>
    <row r="41" spans="2:52" x14ac:dyDescent="0.25">
      <c r="B41" s="261"/>
      <c r="C41" s="91">
        <v>10</v>
      </c>
      <c r="D41" s="91">
        <v>10</v>
      </c>
      <c r="E41" s="91">
        <v>10</v>
      </c>
      <c r="F41" s="91">
        <v>9</v>
      </c>
      <c r="G41" s="91">
        <v>9</v>
      </c>
      <c r="H41" s="91">
        <v>10</v>
      </c>
      <c r="I41" s="91">
        <v>9.5</v>
      </c>
      <c r="J41" s="91">
        <v>9</v>
      </c>
      <c r="K41" s="91">
        <v>9.5</v>
      </c>
      <c r="L41" s="91">
        <v>8.5</v>
      </c>
      <c r="M41" s="6">
        <v>9</v>
      </c>
      <c r="N41" s="8"/>
      <c r="O41" s="7">
        <v>5</v>
      </c>
      <c r="P41" s="8"/>
      <c r="Q41" s="8">
        <v>0</v>
      </c>
      <c r="T41" s="8"/>
      <c r="U41" s="8"/>
      <c r="V41" s="8"/>
      <c r="W41" s="8"/>
      <c r="X41" s="8"/>
      <c r="Y41" s="8"/>
      <c r="Z41" s="9"/>
      <c r="AB41" s="40"/>
      <c r="AC41" s="4"/>
      <c r="AR41" s="5"/>
      <c r="AS41" s="5"/>
      <c r="AT41" s="5"/>
      <c r="AU41" s="5"/>
      <c r="AV41" s="5"/>
      <c r="AW41" s="5"/>
      <c r="AX41" s="5"/>
      <c r="AY41" s="5"/>
      <c r="AZ41" s="5"/>
    </row>
    <row r="42" spans="2:52" x14ac:dyDescent="0.25">
      <c r="B42" s="261"/>
      <c r="C42" s="91">
        <v>10</v>
      </c>
      <c r="D42" s="91">
        <v>10</v>
      </c>
      <c r="E42" s="91">
        <v>10</v>
      </c>
      <c r="F42" s="91">
        <v>10</v>
      </c>
      <c r="G42" s="91">
        <v>10</v>
      </c>
      <c r="H42" s="91">
        <v>9</v>
      </c>
      <c r="I42" s="91">
        <v>9.5</v>
      </c>
      <c r="J42" s="91">
        <v>10</v>
      </c>
      <c r="K42" s="91">
        <v>9.5</v>
      </c>
      <c r="L42" s="91">
        <v>10</v>
      </c>
      <c r="M42" s="6">
        <v>9.5</v>
      </c>
      <c r="N42" s="8"/>
      <c r="O42" s="7">
        <v>5</v>
      </c>
      <c r="P42" s="8"/>
      <c r="Q42" s="8">
        <v>0</v>
      </c>
      <c r="T42" s="8"/>
      <c r="U42" s="8"/>
      <c r="V42" s="8"/>
      <c r="W42" s="8"/>
      <c r="X42" s="8"/>
      <c r="Y42" s="8"/>
      <c r="Z42" s="9"/>
      <c r="AB42" s="40"/>
      <c r="AC42" s="4"/>
      <c r="AR42" s="5"/>
      <c r="AS42" s="5"/>
      <c r="AT42" s="5"/>
      <c r="AU42" s="5"/>
      <c r="AV42" s="5"/>
      <c r="AW42" s="5"/>
      <c r="AX42" s="5"/>
      <c r="AY42" s="5"/>
      <c r="AZ42" s="5"/>
    </row>
    <row r="43" spans="2:52" x14ac:dyDescent="0.25">
      <c r="B43" s="261"/>
      <c r="C43" s="91">
        <v>10</v>
      </c>
      <c r="D43" s="91">
        <v>10</v>
      </c>
      <c r="E43" s="91">
        <v>10</v>
      </c>
      <c r="F43" s="91">
        <v>10</v>
      </c>
      <c r="G43" s="91">
        <v>10</v>
      </c>
      <c r="H43" s="91">
        <v>9</v>
      </c>
      <c r="I43" s="91">
        <v>10</v>
      </c>
      <c r="J43" s="91">
        <v>10</v>
      </c>
      <c r="K43" s="91">
        <v>10</v>
      </c>
      <c r="L43" s="91">
        <v>10</v>
      </c>
      <c r="M43" s="6">
        <v>10</v>
      </c>
      <c r="N43" s="8"/>
      <c r="O43" s="7">
        <v>5</v>
      </c>
      <c r="P43" s="8"/>
      <c r="Q43" s="8">
        <v>0</v>
      </c>
      <c r="T43" s="8"/>
      <c r="U43" s="8"/>
      <c r="V43" s="8"/>
      <c r="W43" s="8"/>
      <c r="X43" s="8"/>
      <c r="Y43" s="8"/>
      <c r="Z43" s="9"/>
      <c r="AB43" s="40"/>
      <c r="AC43" s="4"/>
      <c r="AR43" s="5"/>
      <c r="AS43" s="5"/>
      <c r="AT43" s="5"/>
      <c r="AU43" s="5"/>
      <c r="AV43" s="5"/>
      <c r="AW43" s="5"/>
      <c r="AX43" s="5"/>
      <c r="AY43" s="5"/>
      <c r="AZ43" s="5"/>
    </row>
    <row r="44" spans="2:52" x14ac:dyDescent="0.25">
      <c r="B44" s="261"/>
      <c r="C44" s="91">
        <v>10</v>
      </c>
      <c r="D44" s="91">
        <v>10</v>
      </c>
      <c r="E44" s="91">
        <v>10</v>
      </c>
      <c r="F44" s="91">
        <v>10</v>
      </c>
      <c r="G44" s="91">
        <v>10</v>
      </c>
      <c r="H44" s="91">
        <v>9</v>
      </c>
      <c r="I44" s="91">
        <v>10</v>
      </c>
      <c r="J44" s="91">
        <v>10</v>
      </c>
      <c r="K44" s="91">
        <v>10</v>
      </c>
      <c r="L44" s="91">
        <v>10</v>
      </c>
      <c r="M44" s="6">
        <v>10</v>
      </c>
      <c r="N44" s="8"/>
      <c r="O44" s="7">
        <v>5</v>
      </c>
      <c r="P44" s="8"/>
      <c r="Q44" s="8"/>
      <c r="R44" s="8">
        <v>0</v>
      </c>
      <c r="S44" s="8"/>
      <c r="U44" s="8"/>
      <c r="V44" s="8"/>
      <c r="W44" s="8"/>
      <c r="X44" s="8"/>
      <c r="Y44" s="8"/>
      <c r="Z44" s="9"/>
      <c r="AB44" s="40"/>
      <c r="AC44" s="4"/>
      <c r="AR44" s="5"/>
      <c r="AS44" s="5"/>
      <c r="AT44" s="5"/>
      <c r="AU44" s="5"/>
      <c r="AV44" s="5"/>
      <c r="AW44" s="5"/>
      <c r="AX44" s="5"/>
      <c r="AY44" s="5"/>
      <c r="AZ44" s="5"/>
    </row>
    <row r="45" spans="2:52" x14ac:dyDescent="0.25">
      <c r="B45" s="262"/>
      <c r="C45" s="18">
        <v>10</v>
      </c>
      <c r="D45" s="18">
        <v>10</v>
      </c>
      <c r="E45" s="18">
        <v>10</v>
      </c>
      <c r="F45" s="18">
        <v>10</v>
      </c>
      <c r="G45" s="18">
        <v>10</v>
      </c>
      <c r="H45" s="18">
        <v>9</v>
      </c>
      <c r="I45" s="18">
        <v>10</v>
      </c>
      <c r="J45" s="18">
        <v>10</v>
      </c>
      <c r="K45" s="18">
        <v>9</v>
      </c>
      <c r="L45" s="18">
        <v>10</v>
      </c>
      <c r="M45" s="19">
        <v>10</v>
      </c>
      <c r="N45" s="8"/>
      <c r="O45" s="7">
        <v>5</v>
      </c>
      <c r="P45" s="8"/>
      <c r="Q45" s="8"/>
      <c r="R45" s="8">
        <v>0</v>
      </c>
      <c r="S45" s="8"/>
      <c r="U45" s="8"/>
      <c r="V45" s="8"/>
      <c r="W45" s="8"/>
      <c r="X45" s="8"/>
      <c r="Y45" s="8"/>
      <c r="Z45" s="9"/>
      <c r="AB45" s="31"/>
      <c r="AC45" s="31"/>
      <c r="AR45" s="5"/>
      <c r="AS45" s="5"/>
      <c r="AT45" s="5"/>
      <c r="AU45" s="5"/>
      <c r="AV45" s="5"/>
      <c r="AW45" s="5"/>
      <c r="AX45" s="5"/>
      <c r="AY45" s="5"/>
      <c r="AZ45" s="5"/>
    </row>
    <row r="46" spans="2:52" x14ac:dyDescent="0.25">
      <c r="B46" s="260" t="s">
        <v>50</v>
      </c>
      <c r="C46" s="91">
        <v>9</v>
      </c>
      <c r="D46" s="91">
        <v>10</v>
      </c>
      <c r="E46" s="91">
        <v>9</v>
      </c>
      <c r="F46" s="91">
        <v>9</v>
      </c>
      <c r="G46" s="91">
        <v>9</v>
      </c>
      <c r="H46" s="91">
        <v>10</v>
      </c>
      <c r="I46" s="91">
        <v>9</v>
      </c>
      <c r="J46" s="91">
        <v>9</v>
      </c>
      <c r="K46" s="91">
        <v>0</v>
      </c>
      <c r="L46" s="91">
        <v>0</v>
      </c>
      <c r="M46" s="6">
        <v>9</v>
      </c>
      <c r="N46" s="8"/>
      <c r="O46" s="7">
        <v>5</v>
      </c>
      <c r="P46" s="8"/>
      <c r="Q46" s="8"/>
      <c r="R46" s="8">
        <v>0</v>
      </c>
      <c r="S46" s="8"/>
      <c r="U46" s="8"/>
      <c r="V46" s="8"/>
      <c r="W46" s="8"/>
      <c r="X46" s="8"/>
      <c r="Y46" s="8"/>
      <c r="Z46" s="9"/>
      <c r="AB46" s="5"/>
      <c r="AC46" s="4"/>
      <c r="AR46" s="5"/>
      <c r="AS46" s="5"/>
      <c r="AT46" s="5"/>
      <c r="AU46" s="5"/>
      <c r="AV46" s="5"/>
      <c r="AW46" s="5"/>
      <c r="AX46" s="5"/>
      <c r="AY46" s="5"/>
      <c r="AZ46" s="5"/>
    </row>
    <row r="47" spans="2:52" x14ac:dyDescent="0.25">
      <c r="B47" s="261"/>
      <c r="C47" s="91">
        <v>9</v>
      </c>
      <c r="D47" s="91">
        <v>10</v>
      </c>
      <c r="E47" s="91">
        <v>10</v>
      </c>
      <c r="F47" s="91">
        <v>9</v>
      </c>
      <c r="G47" s="91">
        <v>10</v>
      </c>
      <c r="H47" s="91">
        <v>10</v>
      </c>
      <c r="I47" s="91">
        <v>10</v>
      </c>
      <c r="J47" s="91">
        <v>10</v>
      </c>
      <c r="K47" s="91">
        <v>8</v>
      </c>
      <c r="L47" s="91">
        <v>9</v>
      </c>
      <c r="M47" s="6">
        <v>9</v>
      </c>
      <c r="N47" s="8"/>
      <c r="O47" s="7">
        <v>5</v>
      </c>
      <c r="P47" s="8"/>
      <c r="Q47" s="8"/>
      <c r="R47" s="8">
        <v>0</v>
      </c>
      <c r="S47" s="8"/>
      <c r="U47" s="8"/>
      <c r="V47" s="8"/>
      <c r="W47" s="8"/>
      <c r="X47" s="8"/>
      <c r="Y47" s="8"/>
      <c r="Z47" s="9"/>
      <c r="AB47" s="40"/>
      <c r="AC47" s="4"/>
      <c r="AR47" s="5"/>
      <c r="AS47" s="5"/>
      <c r="AT47" s="5"/>
      <c r="AU47" s="5"/>
      <c r="AV47" s="5"/>
      <c r="AW47" s="5"/>
      <c r="AX47" s="5"/>
      <c r="AY47" s="5"/>
      <c r="AZ47" s="5"/>
    </row>
    <row r="48" spans="2:52" x14ac:dyDescent="0.25">
      <c r="B48" s="261"/>
      <c r="C48" s="91">
        <v>9</v>
      </c>
      <c r="D48" s="91">
        <v>10</v>
      </c>
      <c r="E48" s="91">
        <v>10</v>
      </c>
      <c r="F48" s="91">
        <v>9.5</v>
      </c>
      <c r="G48" s="91">
        <v>10</v>
      </c>
      <c r="H48" s="91">
        <v>10</v>
      </c>
      <c r="I48" s="91">
        <v>10</v>
      </c>
      <c r="J48" s="91">
        <v>10</v>
      </c>
      <c r="K48" s="91">
        <v>9</v>
      </c>
      <c r="L48" s="91">
        <v>9</v>
      </c>
      <c r="M48" s="6">
        <v>9</v>
      </c>
      <c r="N48" s="8"/>
      <c r="O48" s="7">
        <v>5</v>
      </c>
      <c r="P48" s="8"/>
      <c r="Q48" s="8"/>
      <c r="R48" s="8">
        <v>0</v>
      </c>
      <c r="S48" s="8"/>
      <c r="U48" s="8"/>
      <c r="V48" s="8"/>
      <c r="W48" s="8"/>
      <c r="X48" s="8"/>
      <c r="Y48" s="8"/>
      <c r="Z48" s="9"/>
      <c r="AB48" s="40"/>
      <c r="AC48" s="4"/>
      <c r="AR48" s="5"/>
      <c r="AS48" s="5"/>
      <c r="AT48" s="5"/>
      <c r="AU48" s="5"/>
      <c r="AV48" s="5"/>
      <c r="AW48" s="5"/>
      <c r="AX48" s="5"/>
      <c r="AY48" s="5"/>
      <c r="AZ48" s="5"/>
    </row>
    <row r="49" spans="2:52" x14ac:dyDescent="0.25">
      <c r="B49" s="261"/>
      <c r="C49" s="91">
        <v>10</v>
      </c>
      <c r="D49" s="91">
        <v>10</v>
      </c>
      <c r="E49" s="91">
        <v>10</v>
      </c>
      <c r="F49" s="91">
        <v>10</v>
      </c>
      <c r="G49" s="91">
        <v>10</v>
      </c>
      <c r="H49" s="91">
        <v>10</v>
      </c>
      <c r="I49" s="91">
        <v>10</v>
      </c>
      <c r="J49" s="91">
        <v>10</v>
      </c>
      <c r="K49" s="91">
        <v>10</v>
      </c>
      <c r="L49" s="91">
        <v>9</v>
      </c>
      <c r="M49" s="6">
        <v>10</v>
      </c>
      <c r="N49" s="8"/>
      <c r="O49" s="7">
        <v>5</v>
      </c>
      <c r="P49" s="8"/>
      <c r="Q49" s="8"/>
      <c r="R49" s="8">
        <v>0</v>
      </c>
      <c r="S49" s="8"/>
      <c r="U49" s="8"/>
      <c r="V49" s="8"/>
      <c r="W49" s="8"/>
      <c r="X49" s="8"/>
      <c r="Y49" s="8"/>
      <c r="Z49" s="9"/>
      <c r="AB49" s="40"/>
      <c r="AC49" s="4"/>
      <c r="AR49" s="5"/>
      <c r="AS49" s="5"/>
      <c r="AT49" s="5"/>
      <c r="AU49" s="5"/>
      <c r="AV49" s="5"/>
      <c r="AW49" s="5"/>
      <c r="AX49" s="5"/>
      <c r="AY49" s="5"/>
      <c r="AZ49" s="5"/>
    </row>
    <row r="50" spans="2:52" x14ac:dyDescent="0.25">
      <c r="B50" s="261"/>
      <c r="C50" s="91">
        <v>10</v>
      </c>
      <c r="D50" s="91">
        <v>10</v>
      </c>
      <c r="E50" s="91">
        <v>10</v>
      </c>
      <c r="F50" s="91">
        <v>10</v>
      </c>
      <c r="G50" s="91">
        <v>10</v>
      </c>
      <c r="H50" s="91">
        <v>10</v>
      </c>
      <c r="I50" s="91">
        <v>10</v>
      </c>
      <c r="J50" s="91">
        <v>10</v>
      </c>
      <c r="K50" s="91">
        <v>10</v>
      </c>
      <c r="L50" s="91">
        <v>10</v>
      </c>
      <c r="M50" s="6">
        <v>10</v>
      </c>
      <c r="N50" s="8"/>
      <c r="O50" s="7">
        <v>5</v>
      </c>
      <c r="P50" s="8"/>
      <c r="Q50" s="8"/>
      <c r="R50" s="8">
        <v>0</v>
      </c>
      <c r="S50" s="8"/>
      <c r="U50" s="8"/>
      <c r="V50" s="8"/>
      <c r="W50" s="8"/>
      <c r="X50" s="8"/>
      <c r="Y50" s="8"/>
      <c r="Z50" s="9"/>
      <c r="AB50" s="40"/>
      <c r="AC50" s="4"/>
      <c r="AR50" s="5"/>
      <c r="AS50" s="5"/>
      <c r="AT50" s="5"/>
      <c r="AU50" s="5"/>
      <c r="AV50" s="5"/>
      <c r="AW50" s="5"/>
      <c r="AX50" s="5"/>
      <c r="AY50" s="5"/>
      <c r="AZ50" s="5"/>
    </row>
    <row r="51" spans="2:52" x14ac:dyDescent="0.25">
      <c r="B51" s="261"/>
      <c r="C51" s="91">
        <v>9.5</v>
      </c>
      <c r="D51" s="91">
        <v>10</v>
      </c>
      <c r="E51" s="91">
        <v>10</v>
      </c>
      <c r="F51" s="91">
        <v>10</v>
      </c>
      <c r="G51" s="91">
        <v>10</v>
      </c>
      <c r="H51" s="91">
        <v>10</v>
      </c>
      <c r="I51" s="91">
        <v>10</v>
      </c>
      <c r="J51" s="91">
        <v>10</v>
      </c>
      <c r="K51" s="91">
        <v>10</v>
      </c>
      <c r="L51" s="91">
        <v>10</v>
      </c>
      <c r="M51" s="6">
        <v>10</v>
      </c>
      <c r="N51" s="8"/>
      <c r="O51" s="7">
        <v>5</v>
      </c>
      <c r="P51" s="8"/>
      <c r="Q51" s="8"/>
      <c r="R51" s="8">
        <v>0</v>
      </c>
      <c r="S51" s="8"/>
      <c r="U51" s="8"/>
      <c r="V51" s="8"/>
      <c r="W51" s="8"/>
      <c r="X51" s="8"/>
      <c r="Y51" s="8"/>
      <c r="Z51" s="9"/>
      <c r="AB51" s="40"/>
      <c r="AC51" s="4"/>
      <c r="AR51" s="5"/>
      <c r="AS51" s="5"/>
      <c r="AT51" s="5"/>
      <c r="AU51" s="5"/>
      <c r="AV51" s="5"/>
      <c r="AW51" s="5"/>
      <c r="AX51" s="5"/>
      <c r="AY51" s="5"/>
      <c r="AZ51" s="5"/>
    </row>
    <row r="52" spans="2:52" x14ac:dyDescent="0.25">
      <c r="B52" s="261"/>
      <c r="C52" s="91">
        <v>8.5</v>
      </c>
      <c r="D52" s="91">
        <v>10</v>
      </c>
      <c r="E52" s="91">
        <v>10</v>
      </c>
      <c r="F52" s="91">
        <v>10</v>
      </c>
      <c r="G52" s="91">
        <v>10</v>
      </c>
      <c r="H52" s="91">
        <v>10</v>
      </c>
      <c r="I52" s="91">
        <v>10</v>
      </c>
      <c r="J52" s="91">
        <v>10</v>
      </c>
      <c r="K52" s="91">
        <v>10</v>
      </c>
      <c r="L52" s="91">
        <v>10</v>
      </c>
      <c r="M52" s="6">
        <v>10</v>
      </c>
      <c r="N52" s="8"/>
      <c r="O52" s="7">
        <v>5</v>
      </c>
      <c r="P52" s="8"/>
      <c r="Q52" s="8"/>
      <c r="R52" s="8">
        <v>0</v>
      </c>
      <c r="S52" s="8"/>
      <c r="U52" s="8"/>
      <c r="V52" s="8"/>
      <c r="W52" s="8"/>
      <c r="X52" s="8"/>
      <c r="Y52" s="8"/>
      <c r="Z52" s="9"/>
      <c r="AB52" s="40"/>
      <c r="AC52" s="4"/>
      <c r="AR52" s="5"/>
      <c r="AS52" s="5"/>
      <c r="AT52" s="5"/>
      <c r="AU52" s="5"/>
      <c r="AV52" s="5"/>
      <c r="AW52" s="5"/>
      <c r="AX52" s="5"/>
      <c r="AY52" s="5"/>
      <c r="AZ52" s="5"/>
    </row>
    <row r="53" spans="2:52" x14ac:dyDescent="0.25">
      <c r="B53" s="261"/>
      <c r="C53" s="91">
        <v>9</v>
      </c>
      <c r="D53" s="91">
        <v>10</v>
      </c>
      <c r="E53" s="91">
        <v>10</v>
      </c>
      <c r="F53" s="91">
        <v>10</v>
      </c>
      <c r="G53" s="91">
        <v>10</v>
      </c>
      <c r="H53" s="91">
        <v>10</v>
      </c>
      <c r="I53" s="91">
        <v>10</v>
      </c>
      <c r="J53" s="91">
        <v>10</v>
      </c>
      <c r="K53" s="91">
        <v>10</v>
      </c>
      <c r="L53" s="91">
        <v>10</v>
      </c>
      <c r="M53" s="6">
        <v>10</v>
      </c>
      <c r="N53" s="8"/>
      <c r="O53" s="7">
        <v>5</v>
      </c>
      <c r="P53" s="8"/>
      <c r="Q53" s="8"/>
      <c r="R53" s="8">
        <v>0</v>
      </c>
      <c r="S53" s="8"/>
      <c r="U53" s="8"/>
      <c r="V53" s="8"/>
      <c r="W53" s="8"/>
      <c r="X53" s="8"/>
      <c r="Y53" s="8"/>
      <c r="Z53" s="9"/>
      <c r="AB53" s="40"/>
      <c r="AC53" s="4"/>
      <c r="AR53" s="5"/>
      <c r="AS53" s="5"/>
      <c r="AT53" s="5"/>
      <c r="AU53" s="5"/>
      <c r="AV53" s="5"/>
      <c r="AW53" s="5"/>
      <c r="AX53" s="5"/>
      <c r="AY53" s="5"/>
      <c r="AZ53" s="5"/>
    </row>
    <row r="54" spans="2:52" x14ac:dyDescent="0.25">
      <c r="B54" s="261"/>
      <c r="C54" s="91">
        <v>10</v>
      </c>
      <c r="D54" s="91">
        <v>10</v>
      </c>
      <c r="E54" s="91">
        <v>10</v>
      </c>
      <c r="F54" s="91">
        <v>10</v>
      </c>
      <c r="G54" s="91">
        <v>10</v>
      </c>
      <c r="H54" s="91">
        <v>10</v>
      </c>
      <c r="I54" s="91">
        <v>10</v>
      </c>
      <c r="J54" s="91">
        <v>10</v>
      </c>
      <c r="K54" s="91">
        <v>10</v>
      </c>
      <c r="L54" s="91">
        <v>10</v>
      </c>
      <c r="M54" s="6">
        <v>10</v>
      </c>
      <c r="N54" s="8"/>
      <c r="O54" s="7">
        <v>5</v>
      </c>
      <c r="P54" s="8"/>
      <c r="Q54" s="8"/>
      <c r="R54" s="8">
        <v>0</v>
      </c>
      <c r="S54" s="8"/>
      <c r="T54" s="8"/>
      <c r="V54" s="8"/>
      <c r="W54" s="8"/>
      <c r="X54" s="8"/>
      <c r="Y54" s="8"/>
      <c r="Z54" s="9"/>
      <c r="AR54" s="5"/>
      <c r="AS54" s="5"/>
      <c r="AT54" s="5"/>
      <c r="AU54" s="5"/>
      <c r="AV54" s="5"/>
      <c r="AW54" s="5"/>
      <c r="AX54" s="5"/>
      <c r="AY54" s="5"/>
      <c r="AZ54" s="5"/>
    </row>
    <row r="55" spans="2:52" x14ac:dyDescent="0.25">
      <c r="B55" s="261"/>
      <c r="C55" s="91">
        <v>10</v>
      </c>
      <c r="D55" s="91">
        <v>10</v>
      </c>
      <c r="E55" s="91">
        <v>10</v>
      </c>
      <c r="F55" s="91">
        <v>10</v>
      </c>
      <c r="G55" s="91">
        <v>10</v>
      </c>
      <c r="H55" s="91">
        <v>10</v>
      </c>
      <c r="I55" s="91">
        <v>10</v>
      </c>
      <c r="J55" s="91">
        <v>10</v>
      </c>
      <c r="K55" s="91">
        <v>10</v>
      </c>
      <c r="L55" s="91">
        <v>10</v>
      </c>
      <c r="M55" s="6">
        <v>10</v>
      </c>
      <c r="N55" s="8"/>
      <c r="O55" s="7">
        <v>5</v>
      </c>
      <c r="P55" s="8"/>
      <c r="Q55" s="8"/>
      <c r="R55" s="8">
        <v>0</v>
      </c>
      <c r="S55" s="8"/>
      <c r="T55" s="8"/>
      <c r="V55" s="8"/>
      <c r="W55" s="8"/>
      <c r="X55" s="8"/>
      <c r="Y55" s="8"/>
      <c r="Z55" s="9"/>
      <c r="AR55" s="5"/>
      <c r="AS55" s="5"/>
      <c r="AT55" s="5"/>
      <c r="AU55" s="5"/>
      <c r="AV55" s="5"/>
      <c r="AW55" s="5"/>
      <c r="AX55" s="5"/>
      <c r="AY55" s="5"/>
      <c r="AZ55" s="5"/>
    </row>
    <row r="56" spans="2:52" x14ac:dyDescent="0.25">
      <c r="B56" s="261"/>
      <c r="C56" s="91">
        <v>9</v>
      </c>
      <c r="D56" s="91">
        <v>8</v>
      </c>
      <c r="E56" s="91">
        <v>9</v>
      </c>
      <c r="F56" s="91">
        <v>8.5</v>
      </c>
      <c r="G56" s="91">
        <v>9.5</v>
      </c>
      <c r="H56" s="91">
        <v>9</v>
      </c>
      <c r="I56" s="91">
        <v>8</v>
      </c>
      <c r="J56" s="91">
        <v>8.5</v>
      </c>
      <c r="K56" s="91">
        <v>9.5</v>
      </c>
      <c r="L56" s="91">
        <v>8.5</v>
      </c>
      <c r="M56" s="6">
        <v>0</v>
      </c>
      <c r="N56" s="8"/>
      <c r="O56" s="7">
        <v>5</v>
      </c>
      <c r="P56" s="8"/>
      <c r="Q56" s="8"/>
      <c r="R56" s="8">
        <v>0</v>
      </c>
      <c r="S56" s="8"/>
      <c r="T56" s="8"/>
      <c r="V56" s="8"/>
      <c r="W56" s="8"/>
      <c r="X56" s="8"/>
      <c r="Y56" s="8"/>
      <c r="Z56" s="9"/>
      <c r="AR56" s="5"/>
      <c r="AS56" s="5"/>
      <c r="AT56" s="5"/>
      <c r="AU56" s="5"/>
      <c r="AV56" s="5"/>
      <c r="AW56" s="5"/>
      <c r="AX56" s="5"/>
      <c r="AY56" s="5"/>
      <c r="AZ56" s="5"/>
    </row>
    <row r="57" spans="2:52" x14ac:dyDescent="0.25">
      <c r="B57" s="261"/>
      <c r="C57" s="91">
        <v>8</v>
      </c>
      <c r="D57" s="91">
        <v>9</v>
      </c>
      <c r="E57" s="91">
        <v>9</v>
      </c>
      <c r="F57" s="91">
        <v>9</v>
      </c>
      <c r="G57" s="91">
        <v>9.5</v>
      </c>
      <c r="H57" s="91">
        <v>9</v>
      </c>
      <c r="I57" s="91">
        <v>9</v>
      </c>
      <c r="J57" s="91">
        <v>9.5</v>
      </c>
      <c r="K57" s="91">
        <v>9</v>
      </c>
      <c r="L57" s="91">
        <v>8.5</v>
      </c>
      <c r="M57" s="6">
        <v>8.5</v>
      </c>
      <c r="N57" s="8"/>
      <c r="O57" s="7">
        <v>5</v>
      </c>
      <c r="P57" s="8"/>
      <c r="Q57" s="8"/>
      <c r="R57" s="8">
        <v>0</v>
      </c>
      <c r="S57" s="8"/>
      <c r="T57" s="8"/>
      <c r="V57" s="8"/>
      <c r="W57" s="8"/>
      <c r="X57" s="8"/>
      <c r="Y57" s="8"/>
      <c r="Z57" s="9"/>
      <c r="AR57" s="5"/>
      <c r="AS57" s="5"/>
      <c r="AT57" s="5"/>
      <c r="AU57" s="5"/>
      <c r="AV57" s="5"/>
      <c r="AW57" s="5"/>
      <c r="AX57" s="5"/>
      <c r="AY57" s="5"/>
      <c r="AZ57" s="5"/>
    </row>
    <row r="58" spans="2:52" x14ac:dyDescent="0.25">
      <c r="B58" s="261"/>
      <c r="C58" s="91">
        <v>8</v>
      </c>
      <c r="D58" s="91">
        <v>9</v>
      </c>
      <c r="E58" s="91">
        <v>9</v>
      </c>
      <c r="F58" s="91">
        <v>9</v>
      </c>
      <c r="G58" s="91">
        <v>9</v>
      </c>
      <c r="H58" s="91">
        <v>9</v>
      </c>
      <c r="I58" s="91">
        <v>9</v>
      </c>
      <c r="J58" s="91">
        <v>9</v>
      </c>
      <c r="K58" s="91">
        <v>8.5</v>
      </c>
      <c r="L58" s="91">
        <v>9</v>
      </c>
      <c r="M58" s="6">
        <v>9.5</v>
      </c>
      <c r="N58" s="8"/>
      <c r="O58" s="7">
        <v>5</v>
      </c>
      <c r="P58" s="8"/>
      <c r="Q58" s="8"/>
      <c r="R58" s="8">
        <v>0</v>
      </c>
      <c r="S58" s="8"/>
      <c r="T58" s="8"/>
      <c r="V58" s="8"/>
      <c r="W58" s="8"/>
      <c r="X58" s="8"/>
      <c r="Y58" s="8"/>
      <c r="Z58" s="9"/>
      <c r="AR58" s="31"/>
      <c r="AS58" s="31"/>
      <c r="AT58" s="31"/>
      <c r="AU58" s="31"/>
      <c r="AV58" s="31"/>
      <c r="AW58" s="31"/>
      <c r="AX58" s="31"/>
      <c r="AY58" s="31"/>
      <c r="AZ58" s="31"/>
    </row>
    <row r="59" spans="2:52" x14ac:dyDescent="0.25">
      <c r="B59" s="261"/>
      <c r="C59" s="91">
        <v>9.5</v>
      </c>
      <c r="D59" s="91">
        <v>9</v>
      </c>
      <c r="E59" s="91">
        <v>9</v>
      </c>
      <c r="F59" s="91">
        <v>10</v>
      </c>
      <c r="G59" s="91">
        <v>9</v>
      </c>
      <c r="H59" s="91">
        <v>10</v>
      </c>
      <c r="I59" s="91">
        <v>9</v>
      </c>
      <c r="J59" s="91">
        <v>9</v>
      </c>
      <c r="K59" s="91">
        <v>10</v>
      </c>
      <c r="L59" s="91">
        <v>9</v>
      </c>
      <c r="M59" s="6">
        <v>10</v>
      </c>
      <c r="N59" s="8"/>
      <c r="O59" s="7">
        <v>5</v>
      </c>
      <c r="P59" s="8"/>
      <c r="Q59" s="8"/>
      <c r="R59" s="8">
        <v>0</v>
      </c>
      <c r="S59" s="8"/>
      <c r="T59" s="8"/>
      <c r="V59" s="8"/>
      <c r="W59" s="8"/>
      <c r="X59" s="8"/>
      <c r="Y59" s="8"/>
      <c r="Z59" s="9"/>
      <c r="AR59" s="4"/>
      <c r="AS59" s="4"/>
      <c r="AT59" s="4"/>
      <c r="AU59" s="4"/>
      <c r="AV59" s="4"/>
      <c r="AW59" s="4"/>
      <c r="AX59" s="4"/>
      <c r="AY59" s="4"/>
      <c r="AZ59" s="4"/>
    </row>
    <row r="60" spans="2:52" x14ac:dyDescent="0.25">
      <c r="B60" s="261"/>
      <c r="C60" s="91">
        <v>9.5</v>
      </c>
      <c r="D60" s="91">
        <v>9</v>
      </c>
      <c r="E60" s="91">
        <v>10</v>
      </c>
      <c r="F60" s="91">
        <v>10</v>
      </c>
      <c r="G60" s="91">
        <v>10</v>
      </c>
      <c r="H60" s="91">
        <v>10</v>
      </c>
      <c r="I60" s="91">
        <v>9</v>
      </c>
      <c r="J60" s="91">
        <v>9</v>
      </c>
      <c r="K60" s="91">
        <v>10</v>
      </c>
      <c r="L60" s="91">
        <v>9</v>
      </c>
      <c r="M60" s="6">
        <v>10</v>
      </c>
      <c r="N60" s="8"/>
      <c r="O60" s="7">
        <v>5</v>
      </c>
      <c r="P60" s="8"/>
      <c r="Q60" s="8"/>
      <c r="R60" s="8">
        <v>0</v>
      </c>
      <c r="S60" s="8"/>
      <c r="T60" s="8"/>
      <c r="V60" s="8"/>
      <c r="W60" s="8"/>
      <c r="X60" s="8"/>
      <c r="Y60" s="8"/>
      <c r="Z60" s="9"/>
      <c r="AR60" s="4"/>
      <c r="AS60" s="4"/>
      <c r="AT60" s="4"/>
      <c r="AU60" s="4"/>
      <c r="AV60" s="4"/>
      <c r="AW60" s="4"/>
      <c r="AX60" s="4"/>
      <c r="AY60" s="4"/>
      <c r="AZ60" s="4"/>
    </row>
    <row r="61" spans="2:52" x14ac:dyDescent="0.25">
      <c r="B61" s="261"/>
      <c r="C61" s="91">
        <v>10</v>
      </c>
      <c r="D61" s="91">
        <v>10</v>
      </c>
      <c r="E61" s="91">
        <v>10</v>
      </c>
      <c r="F61" s="91">
        <v>10</v>
      </c>
      <c r="G61" s="91">
        <v>10</v>
      </c>
      <c r="H61" s="91">
        <v>10</v>
      </c>
      <c r="I61" s="91">
        <v>9</v>
      </c>
      <c r="J61" s="91">
        <v>9</v>
      </c>
      <c r="K61" s="91">
        <v>10</v>
      </c>
      <c r="L61" s="91">
        <v>9</v>
      </c>
      <c r="M61" s="6">
        <v>8.5</v>
      </c>
      <c r="N61" s="8"/>
      <c r="O61" s="7">
        <v>5</v>
      </c>
      <c r="P61" s="8"/>
      <c r="Q61" s="8"/>
      <c r="R61" s="8">
        <v>0</v>
      </c>
      <c r="S61" s="8"/>
      <c r="T61" s="8"/>
      <c r="V61" s="8"/>
      <c r="W61" s="8"/>
      <c r="X61" s="8"/>
      <c r="Y61" s="8"/>
      <c r="Z61" s="9"/>
      <c r="AR61" s="4"/>
      <c r="AS61" s="4"/>
      <c r="AT61" s="4"/>
      <c r="AU61" s="4"/>
      <c r="AV61" s="4"/>
      <c r="AW61" s="4"/>
      <c r="AX61" s="4"/>
      <c r="AY61" s="4"/>
      <c r="AZ61" s="4"/>
    </row>
    <row r="62" spans="2:52" x14ac:dyDescent="0.25">
      <c r="B62" s="261"/>
      <c r="C62" s="91">
        <v>9</v>
      </c>
      <c r="D62" s="91">
        <v>10</v>
      </c>
      <c r="E62" s="91">
        <v>10</v>
      </c>
      <c r="F62" s="91">
        <v>10</v>
      </c>
      <c r="G62" s="91">
        <v>10</v>
      </c>
      <c r="H62" s="91">
        <v>10</v>
      </c>
      <c r="I62" s="91">
        <v>9</v>
      </c>
      <c r="J62" s="91">
        <v>9</v>
      </c>
      <c r="K62" s="91">
        <v>10</v>
      </c>
      <c r="L62" s="91">
        <v>10</v>
      </c>
      <c r="M62" s="6">
        <v>9</v>
      </c>
      <c r="N62" s="8"/>
      <c r="O62" s="7">
        <v>5</v>
      </c>
      <c r="P62" s="8"/>
      <c r="Q62" s="8"/>
      <c r="R62" s="8">
        <v>0</v>
      </c>
      <c r="S62" s="8"/>
      <c r="T62" s="8"/>
      <c r="V62" s="8"/>
      <c r="W62" s="8"/>
      <c r="X62" s="8"/>
      <c r="Y62" s="8"/>
      <c r="Z62" s="9"/>
      <c r="AR62" s="4"/>
      <c r="AS62" s="4"/>
      <c r="AT62" s="4"/>
      <c r="AU62" s="4"/>
      <c r="AV62" s="4"/>
      <c r="AW62" s="4"/>
      <c r="AX62" s="4"/>
      <c r="AY62" s="4"/>
      <c r="AZ62" s="4"/>
    </row>
    <row r="63" spans="2:52" x14ac:dyDescent="0.25">
      <c r="B63" s="261"/>
      <c r="C63" s="91">
        <v>10</v>
      </c>
      <c r="D63" s="91">
        <v>10</v>
      </c>
      <c r="E63" s="91">
        <v>10</v>
      </c>
      <c r="F63" s="91">
        <v>10</v>
      </c>
      <c r="G63" s="91">
        <v>10</v>
      </c>
      <c r="H63" s="91">
        <v>10</v>
      </c>
      <c r="I63" s="91">
        <v>9</v>
      </c>
      <c r="J63" s="91">
        <v>10</v>
      </c>
      <c r="K63" s="91">
        <v>10</v>
      </c>
      <c r="L63" s="91">
        <v>10</v>
      </c>
      <c r="M63" s="6">
        <v>9</v>
      </c>
      <c r="N63" s="8"/>
      <c r="O63" s="7">
        <v>5</v>
      </c>
      <c r="P63" s="8"/>
      <c r="Q63" s="8"/>
      <c r="R63" s="8">
        <v>0</v>
      </c>
      <c r="S63" s="8"/>
      <c r="T63" s="8"/>
      <c r="V63" s="8"/>
      <c r="W63" s="8"/>
      <c r="X63" s="8"/>
      <c r="Y63" s="8"/>
      <c r="Z63" s="9"/>
      <c r="AR63" s="4"/>
      <c r="AS63" s="4"/>
      <c r="AT63" s="4"/>
      <c r="AU63" s="4"/>
      <c r="AV63" s="4"/>
      <c r="AW63" s="4"/>
      <c r="AX63" s="4"/>
      <c r="AY63" s="4"/>
      <c r="AZ63" s="4"/>
    </row>
    <row r="64" spans="2:52" x14ac:dyDescent="0.25">
      <c r="B64" s="261"/>
      <c r="C64" s="91">
        <v>10</v>
      </c>
      <c r="D64" s="91">
        <v>10</v>
      </c>
      <c r="E64" s="91">
        <v>10</v>
      </c>
      <c r="F64" s="91">
        <v>10</v>
      </c>
      <c r="G64" s="91">
        <v>10</v>
      </c>
      <c r="H64" s="91">
        <v>10</v>
      </c>
      <c r="I64" s="91">
        <v>10</v>
      </c>
      <c r="J64" s="91">
        <v>10</v>
      </c>
      <c r="K64" s="91">
        <v>10</v>
      </c>
      <c r="L64" s="91">
        <v>10</v>
      </c>
      <c r="M64" s="6">
        <v>10</v>
      </c>
      <c r="N64" s="8"/>
      <c r="O64" s="7">
        <v>5</v>
      </c>
      <c r="P64" s="8"/>
      <c r="Q64" s="8"/>
      <c r="R64" s="8"/>
      <c r="S64" s="8">
        <v>0</v>
      </c>
      <c r="T64" s="8"/>
      <c r="U64" s="8"/>
      <c r="W64" s="8"/>
      <c r="X64" s="8"/>
      <c r="Y64" s="8"/>
      <c r="Z64" s="9"/>
      <c r="AR64" s="4"/>
      <c r="AS64" s="4"/>
      <c r="AT64" s="4"/>
      <c r="AU64" s="4"/>
      <c r="AV64" s="4"/>
      <c r="AW64" s="4"/>
      <c r="AX64" s="4"/>
      <c r="AY64" s="4"/>
      <c r="AZ64" s="4"/>
    </row>
    <row r="65" spans="2:52" x14ac:dyDescent="0.25">
      <c r="B65" s="262"/>
      <c r="C65" s="91">
        <v>10</v>
      </c>
      <c r="D65" s="91">
        <v>10</v>
      </c>
      <c r="E65" s="91">
        <v>10</v>
      </c>
      <c r="F65" s="91">
        <v>10</v>
      </c>
      <c r="G65" s="91">
        <v>10</v>
      </c>
      <c r="H65" s="91">
        <v>10</v>
      </c>
      <c r="I65" s="91">
        <v>10</v>
      </c>
      <c r="J65" s="91">
        <v>10</v>
      </c>
      <c r="K65" s="91">
        <v>10</v>
      </c>
      <c r="L65" s="91">
        <v>10</v>
      </c>
      <c r="M65" s="6">
        <v>10</v>
      </c>
      <c r="N65" s="8"/>
      <c r="O65" s="7">
        <v>5</v>
      </c>
      <c r="P65" s="8"/>
      <c r="Q65" s="8"/>
      <c r="R65" s="8"/>
      <c r="S65" s="8">
        <v>0</v>
      </c>
      <c r="T65" s="8"/>
      <c r="U65" s="8"/>
      <c r="W65" s="8"/>
      <c r="X65" s="8"/>
      <c r="Y65" s="8"/>
      <c r="Z65" s="9"/>
      <c r="AR65" s="4"/>
      <c r="AS65" s="4"/>
      <c r="AT65" s="4"/>
      <c r="AU65" s="4"/>
      <c r="AV65" s="4"/>
      <c r="AW65" s="4"/>
      <c r="AX65" s="4"/>
      <c r="AY65" s="4"/>
      <c r="AZ65" s="4"/>
    </row>
    <row r="66" spans="2:52" x14ac:dyDescent="0.25">
      <c r="B66" s="260" t="s">
        <v>51</v>
      </c>
      <c r="C66" s="107">
        <v>9</v>
      </c>
      <c r="D66" s="107">
        <v>9</v>
      </c>
      <c r="E66" s="107">
        <v>9</v>
      </c>
      <c r="F66" s="107">
        <v>8</v>
      </c>
      <c r="G66" s="107">
        <v>9</v>
      </c>
      <c r="H66" s="107">
        <v>9</v>
      </c>
      <c r="I66" s="107">
        <v>8</v>
      </c>
      <c r="J66" s="107">
        <v>9</v>
      </c>
      <c r="K66" s="107">
        <v>0</v>
      </c>
      <c r="L66" s="107">
        <v>0</v>
      </c>
      <c r="M66" s="108">
        <v>9</v>
      </c>
      <c r="N66" s="8"/>
      <c r="O66" s="7">
        <v>5</v>
      </c>
      <c r="P66" s="8"/>
      <c r="Q66" s="8"/>
      <c r="R66" s="8"/>
      <c r="S66" s="8">
        <v>0</v>
      </c>
      <c r="T66" s="8"/>
      <c r="U66" s="8"/>
      <c r="W66" s="8"/>
      <c r="X66" s="8"/>
      <c r="Y66" s="8"/>
      <c r="Z66" s="9"/>
      <c r="AR66" s="4"/>
      <c r="AS66" s="4"/>
      <c r="AT66" s="4"/>
      <c r="AU66" s="4"/>
      <c r="AV66" s="4"/>
      <c r="AW66" s="4"/>
      <c r="AX66" s="4"/>
      <c r="AY66" s="4"/>
      <c r="AZ66" s="4"/>
    </row>
    <row r="67" spans="2:52" x14ac:dyDescent="0.25">
      <c r="B67" s="261"/>
      <c r="C67" s="91">
        <v>9</v>
      </c>
      <c r="D67" s="91">
        <v>9</v>
      </c>
      <c r="E67" s="91">
        <v>9</v>
      </c>
      <c r="F67" s="91">
        <v>9</v>
      </c>
      <c r="G67" s="91">
        <v>10</v>
      </c>
      <c r="H67" s="91">
        <v>9</v>
      </c>
      <c r="I67" s="91">
        <v>9</v>
      </c>
      <c r="J67" s="91">
        <v>9</v>
      </c>
      <c r="K67" s="91">
        <v>9</v>
      </c>
      <c r="L67" s="91">
        <v>10</v>
      </c>
      <c r="M67" s="6">
        <v>9</v>
      </c>
      <c r="N67" s="8"/>
      <c r="O67" s="7">
        <v>5</v>
      </c>
      <c r="P67" s="8"/>
      <c r="Q67" s="8"/>
      <c r="R67" s="8"/>
      <c r="S67" s="8">
        <v>0</v>
      </c>
      <c r="T67" s="8"/>
      <c r="U67" s="8"/>
      <c r="W67" s="8"/>
      <c r="X67" s="8"/>
      <c r="Y67" s="8"/>
      <c r="Z67" s="9"/>
    </row>
    <row r="68" spans="2:52" x14ac:dyDescent="0.25">
      <c r="B68" s="261"/>
      <c r="C68" s="91">
        <v>9</v>
      </c>
      <c r="D68" s="91">
        <v>10</v>
      </c>
      <c r="E68" s="91">
        <v>9</v>
      </c>
      <c r="F68" s="91">
        <v>9</v>
      </c>
      <c r="G68" s="91">
        <v>10</v>
      </c>
      <c r="H68" s="91">
        <v>10</v>
      </c>
      <c r="I68" s="91">
        <v>9</v>
      </c>
      <c r="J68" s="91">
        <v>9</v>
      </c>
      <c r="K68" s="91">
        <v>9</v>
      </c>
      <c r="L68" s="91">
        <v>10</v>
      </c>
      <c r="M68" s="6">
        <v>9</v>
      </c>
      <c r="N68" s="8"/>
      <c r="O68" s="7">
        <v>5</v>
      </c>
      <c r="P68" s="8"/>
      <c r="Q68" s="8"/>
      <c r="R68" s="8"/>
      <c r="S68" s="8">
        <v>0</v>
      </c>
      <c r="T68" s="8"/>
      <c r="U68" s="8"/>
      <c r="W68" s="8"/>
      <c r="X68" s="8"/>
      <c r="Y68" s="8"/>
      <c r="Z68" s="9"/>
    </row>
    <row r="69" spans="2:52" x14ac:dyDescent="0.25">
      <c r="B69" s="261"/>
      <c r="C69" s="91">
        <v>9</v>
      </c>
      <c r="D69" s="91">
        <v>10</v>
      </c>
      <c r="E69" s="91">
        <v>9</v>
      </c>
      <c r="F69" s="91">
        <v>10</v>
      </c>
      <c r="G69" s="91">
        <v>10</v>
      </c>
      <c r="H69" s="91">
        <v>10</v>
      </c>
      <c r="I69" s="91">
        <v>9</v>
      </c>
      <c r="J69" s="91">
        <v>10</v>
      </c>
      <c r="K69" s="91">
        <v>10</v>
      </c>
      <c r="L69" s="91">
        <v>10</v>
      </c>
      <c r="M69" s="6">
        <v>10</v>
      </c>
      <c r="N69" s="8"/>
      <c r="O69" s="7">
        <v>5</v>
      </c>
      <c r="P69" s="8"/>
      <c r="Q69" s="8"/>
      <c r="R69" s="8"/>
      <c r="S69" s="8">
        <v>0</v>
      </c>
      <c r="T69" s="8"/>
      <c r="U69" s="8"/>
      <c r="W69" s="8"/>
      <c r="X69" s="8"/>
      <c r="Y69" s="8"/>
      <c r="Z69" s="9"/>
    </row>
    <row r="70" spans="2:52" x14ac:dyDescent="0.25">
      <c r="B70" s="261"/>
      <c r="C70" s="91">
        <v>9.5</v>
      </c>
      <c r="D70" s="91">
        <v>10</v>
      </c>
      <c r="E70" s="91">
        <v>9</v>
      </c>
      <c r="F70" s="91">
        <v>10</v>
      </c>
      <c r="G70" s="91">
        <v>10</v>
      </c>
      <c r="H70" s="91">
        <v>10</v>
      </c>
      <c r="I70" s="91">
        <v>10</v>
      </c>
      <c r="J70" s="91">
        <v>10</v>
      </c>
      <c r="K70" s="91">
        <v>10</v>
      </c>
      <c r="L70" s="91">
        <v>10</v>
      </c>
      <c r="M70" s="6">
        <v>10</v>
      </c>
      <c r="N70" s="8"/>
      <c r="O70" s="7">
        <v>5</v>
      </c>
      <c r="P70" s="8"/>
      <c r="Q70" s="8"/>
      <c r="R70" s="8"/>
      <c r="S70" s="8">
        <v>0</v>
      </c>
      <c r="T70" s="8"/>
      <c r="U70" s="8"/>
      <c r="W70" s="8"/>
      <c r="X70" s="8"/>
      <c r="Y70" s="8"/>
      <c r="Z70" s="9"/>
    </row>
    <row r="71" spans="2:52" x14ac:dyDescent="0.25">
      <c r="B71" s="261"/>
      <c r="C71" s="91">
        <v>9.5</v>
      </c>
      <c r="D71" s="91">
        <v>10</v>
      </c>
      <c r="E71" s="91">
        <v>9</v>
      </c>
      <c r="F71" s="91">
        <v>10</v>
      </c>
      <c r="G71" s="91">
        <v>10</v>
      </c>
      <c r="H71" s="91">
        <v>10</v>
      </c>
      <c r="I71" s="91">
        <v>10</v>
      </c>
      <c r="J71" s="91">
        <v>10</v>
      </c>
      <c r="K71" s="91">
        <v>10</v>
      </c>
      <c r="L71" s="91">
        <v>10</v>
      </c>
      <c r="M71" s="6">
        <v>10</v>
      </c>
      <c r="N71" s="8"/>
      <c r="O71" s="7">
        <v>5</v>
      </c>
      <c r="P71" s="8"/>
      <c r="Q71" s="8"/>
      <c r="R71" s="8"/>
      <c r="S71" s="8">
        <v>0</v>
      </c>
      <c r="T71" s="8"/>
      <c r="U71" s="8"/>
      <c r="W71" s="8"/>
      <c r="X71" s="8"/>
      <c r="Y71" s="8"/>
      <c r="Z71" s="9"/>
    </row>
    <row r="72" spans="2:52" x14ac:dyDescent="0.25">
      <c r="B72" s="261"/>
      <c r="C72" s="91">
        <v>9.5</v>
      </c>
      <c r="D72" s="91">
        <v>10</v>
      </c>
      <c r="E72" s="91">
        <v>9</v>
      </c>
      <c r="F72" s="91">
        <v>10</v>
      </c>
      <c r="G72" s="91">
        <v>10</v>
      </c>
      <c r="H72" s="91">
        <v>10</v>
      </c>
      <c r="I72" s="91">
        <v>10</v>
      </c>
      <c r="J72" s="91">
        <v>10</v>
      </c>
      <c r="K72" s="91">
        <v>10</v>
      </c>
      <c r="L72" s="91">
        <v>10</v>
      </c>
      <c r="M72" s="6">
        <v>10</v>
      </c>
      <c r="N72" s="8"/>
      <c r="O72" s="7">
        <v>5</v>
      </c>
      <c r="P72" s="8"/>
      <c r="Q72" s="8"/>
      <c r="R72" s="8"/>
      <c r="S72" s="8">
        <v>0</v>
      </c>
      <c r="T72" s="8"/>
      <c r="U72" s="8"/>
      <c r="W72" s="8"/>
      <c r="X72" s="8"/>
      <c r="Y72" s="8"/>
      <c r="Z72" s="9"/>
    </row>
    <row r="73" spans="2:52" x14ac:dyDescent="0.25">
      <c r="B73" s="261"/>
      <c r="C73" s="91">
        <v>10</v>
      </c>
      <c r="D73" s="91">
        <v>10</v>
      </c>
      <c r="E73" s="91">
        <v>9</v>
      </c>
      <c r="F73" s="91">
        <v>10</v>
      </c>
      <c r="G73" s="91">
        <v>10</v>
      </c>
      <c r="H73" s="91">
        <v>10</v>
      </c>
      <c r="I73" s="91">
        <v>10</v>
      </c>
      <c r="J73" s="91">
        <v>10</v>
      </c>
      <c r="K73" s="91">
        <v>10</v>
      </c>
      <c r="L73" s="91">
        <v>10</v>
      </c>
      <c r="M73" s="6">
        <v>10</v>
      </c>
      <c r="N73" s="8"/>
      <c r="O73" s="7">
        <v>5</v>
      </c>
      <c r="P73" s="8"/>
      <c r="Q73" s="8"/>
      <c r="R73" s="8"/>
      <c r="S73" s="8">
        <v>0</v>
      </c>
      <c r="T73" s="8"/>
      <c r="U73" s="8"/>
      <c r="W73" s="8"/>
      <c r="X73" s="8"/>
      <c r="Y73" s="8"/>
      <c r="Z73" s="9"/>
    </row>
    <row r="74" spans="2:52" x14ac:dyDescent="0.25">
      <c r="B74" s="261"/>
      <c r="C74" s="91">
        <v>10</v>
      </c>
      <c r="D74" s="91">
        <v>10</v>
      </c>
      <c r="E74" s="91">
        <v>10</v>
      </c>
      <c r="F74" s="91">
        <v>10</v>
      </c>
      <c r="G74" s="91">
        <v>10</v>
      </c>
      <c r="H74" s="91">
        <v>10</v>
      </c>
      <c r="I74" s="91">
        <v>10</v>
      </c>
      <c r="J74" s="91">
        <v>10</v>
      </c>
      <c r="K74" s="91">
        <v>10</v>
      </c>
      <c r="L74" s="91">
        <v>10</v>
      </c>
      <c r="M74" s="6">
        <v>10</v>
      </c>
      <c r="N74" s="8"/>
      <c r="O74" s="7">
        <v>5</v>
      </c>
      <c r="P74" s="8"/>
      <c r="Q74" s="8"/>
      <c r="R74" s="8"/>
      <c r="S74" s="8">
        <v>0</v>
      </c>
      <c r="T74" s="8"/>
      <c r="U74" s="8"/>
      <c r="V74" s="8"/>
      <c r="X74" s="8"/>
      <c r="Y74" s="8"/>
      <c r="Z74" s="9"/>
    </row>
    <row r="75" spans="2:52" x14ac:dyDescent="0.25">
      <c r="B75" s="261"/>
      <c r="C75" s="91">
        <v>10</v>
      </c>
      <c r="D75" s="91">
        <v>10</v>
      </c>
      <c r="E75" s="91">
        <v>10</v>
      </c>
      <c r="F75" s="91">
        <v>10</v>
      </c>
      <c r="G75" s="91">
        <v>10</v>
      </c>
      <c r="H75" s="91">
        <v>10</v>
      </c>
      <c r="I75" s="91">
        <v>10</v>
      </c>
      <c r="J75" s="91">
        <v>10</v>
      </c>
      <c r="K75" s="91">
        <v>10</v>
      </c>
      <c r="L75" s="91">
        <v>10</v>
      </c>
      <c r="M75" s="6">
        <v>10</v>
      </c>
      <c r="N75" s="8"/>
      <c r="O75" s="7">
        <v>5</v>
      </c>
      <c r="P75" s="8"/>
      <c r="Q75" s="8"/>
      <c r="R75" s="8"/>
      <c r="S75" s="8">
        <v>0</v>
      </c>
      <c r="T75" s="8"/>
      <c r="U75" s="8"/>
      <c r="V75" s="8"/>
      <c r="X75" s="8"/>
      <c r="Y75" s="8"/>
      <c r="Z75" s="9"/>
    </row>
    <row r="76" spans="2:52" x14ac:dyDescent="0.25">
      <c r="B76" s="261"/>
      <c r="C76" s="91">
        <v>8.5</v>
      </c>
      <c r="D76" s="91">
        <v>0</v>
      </c>
      <c r="E76" s="91">
        <v>10</v>
      </c>
      <c r="F76" s="91">
        <v>9</v>
      </c>
      <c r="G76" s="91">
        <v>8</v>
      </c>
      <c r="H76" s="91">
        <v>8</v>
      </c>
      <c r="I76" s="91">
        <v>7</v>
      </c>
      <c r="J76" s="91">
        <v>9</v>
      </c>
      <c r="K76" s="91">
        <v>9</v>
      </c>
      <c r="L76" s="91">
        <v>9</v>
      </c>
      <c r="M76" s="6">
        <v>0</v>
      </c>
      <c r="O76" s="7">
        <v>5</v>
      </c>
      <c r="P76" s="8"/>
      <c r="Q76" s="8"/>
      <c r="R76" s="8"/>
      <c r="S76" s="8">
        <v>0</v>
      </c>
      <c r="T76" s="8"/>
      <c r="U76" s="8"/>
      <c r="V76" s="8"/>
      <c r="X76" s="8"/>
      <c r="Y76" s="8"/>
      <c r="Z76" s="9"/>
    </row>
    <row r="77" spans="2:52" x14ac:dyDescent="0.25">
      <c r="B77" s="261"/>
      <c r="C77" s="91">
        <v>8.5</v>
      </c>
      <c r="D77" s="91">
        <v>9</v>
      </c>
      <c r="E77" s="91">
        <v>10</v>
      </c>
      <c r="F77" s="91">
        <v>9</v>
      </c>
      <c r="G77" s="91">
        <v>9.5</v>
      </c>
      <c r="H77" s="91">
        <v>10</v>
      </c>
      <c r="I77" s="91">
        <v>9</v>
      </c>
      <c r="J77" s="91">
        <v>9</v>
      </c>
      <c r="K77" s="91">
        <v>9</v>
      </c>
      <c r="L77" s="91">
        <v>9</v>
      </c>
      <c r="M77" s="6">
        <v>8</v>
      </c>
      <c r="O77" s="7">
        <v>5</v>
      </c>
      <c r="P77" s="8"/>
      <c r="Q77" s="8"/>
      <c r="R77" s="8"/>
      <c r="S77" s="8">
        <v>0</v>
      </c>
      <c r="T77" s="8"/>
      <c r="U77" s="8"/>
      <c r="V77" s="8"/>
      <c r="X77" s="8"/>
      <c r="Y77" s="8"/>
      <c r="Z77" s="9"/>
    </row>
    <row r="78" spans="2:52" x14ac:dyDescent="0.25">
      <c r="B78" s="261"/>
      <c r="C78" s="91">
        <v>9</v>
      </c>
      <c r="D78" s="91">
        <v>9</v>
      </c>
      <c r="E78" s="91">
        <v>9</v>
      </c>
      <c r="F78" s="91">
        <v>9</v>
      </c>
      <c r="G78" s="91">
        <v>10</v>
      </c>
      <c r="H78" s="91">
        <v>10</v>
      </c>
      <c r="I78" s="91">
        <v>9</v>
      </c>
      <c r="J78" s="91">
        <v>9</v>
      </c>
      <c r="K78" s="91">
        <v>9</v>
      </c>
      <c r="L78" s="91">
        <v>9</v>
      </c>
      <c r="M78" s="6">
        <v>9</v>
      </c>
      <c r="O78" s="7">
        <v>5</v>
      </c>
      <c r="P78" s="8"/>
      <c r="Q78" s="8"/>
      <c r="R78" s="8"/>
      <c r="S78" s="8">
        <v>0</v>
      </c>
      <c r="T78" s="8"/>
      <c r="U78" s="8"/>
      <c r="V78" s="8"/>
      <c r="X78" s="8"/>
      <c r="Y78" s="8"/>
      <c r="Z78" s="9"/>
    </row>
    <row r="79" spans="2:52" x14ac:dyDescent="0.25">
      <c r="B79" s="261"/>
      <c r="C79" s="91">
        <v>9</v>
      </c>
      <c r="D79" s="91">
        <v>9</v>
      </c>
      <c r="E79" s="91">
        <v>9</v>
      </c>
      <c r="F79" s="91">
        <v>9</v>
      </c>
      <c r="G79" s="91">
        <v>10</v>
      </c>
      <c r="H79" s="91">
        <v>10</v>
      </c>
      <c r="I79" s="91">
        <v>9</v>
      </c>
      <c r="J79" s="91">
        <v>9</v>
      </c>
      <c r="K79" s="91">
        <v>9</v>
      </c>
      <c r="L79" s="91">
        <v>9</v>
      </c>
      <c r="M79" s="6">
        <v>9</v>
      </c>
      <c r="O79" s="7">
        <v>5</v>
      </c>
      <c r="P79" s="8"/>
      <c r="Q79" s="8"/>
      <c r="R79" s="8"/>
      <c r="S79" s="8">
        <v>0</v>
      </c>
      <c r="T79" s="8"/>
      <c r="U79" s="8"/>
      <c r="V79" s="8"/>
      <c r="X79" s="8"/>
      <c r="Y79" s="8"/>
      <c r="Z79" s="9"/>
    </row>
    <row r="80" spans="2:52" x14ac:dyDescent="0.25">
      <c r="B80" s="261"/>
      <c r="C80" s="91">
        <v>9</v>
      </c>
      <c r="D80" s="91">
        <v>9</v>
      </c>
      <c r="E80" s="91">
        <v>9</v>
      </c>
      <c r="F80" s="91">
        <v>9</v>
      </c>
      <c r="G80" s="91">
        <v>10</v>
      </c>
      <c r="H80" s="91">
        <v>10</v>
      </c>
      <c r="I80" s="91">
        <v>9</v>
      </c>
      <c r="J80" s="91">
        <v>9</v>
      </c>
      <c r="K80" s="91">
        <v>9</v>
      </c>
      <c r="L80" s="91">
        <v>9</v>
      </c>
      <c r="M80" s="6">
        <v>9</v>
      </c>
      <c r="O80" s="7">
        <v>5</v>
      </c>
      <c r="P80" s="8"/>
      <c r="Q80" s="8"/>
      <c r="R80" s="8"/>
      <c r="S80" s="8">
        <v>0</v>
      </c>
      <c r="T80" s="8"/>
      <c r="U80" s="8"/>
      <c r="V80" s="8"/>
      <c r="X80" s="8"/>
      <c r="Y80" s="8"/>
      <c r="Z80" s="9"/>
    </row>
    <row r="81" spans="2:26" x14ac:dyDescent="0.25">
      <c r="B81" s="261"/>
      <c r="C81" s="91">
        <v>9</v>
      </c>
      <c r="D81" s="91">
        <v>9</v>
      </c>
      <c r="E81" s="91">
        <v>9</v>
      </c>
      <c r="F81" s="91">
        <v>10</v>
      </c>
      <c r="G81" s="91">
        <v>9</v>
      </c>
      <c r="H81" s="91">
        <v>10</v>
      </c>
      <c r="I81" s="91">
        <v>9</v>
      </c>
      <c r="J81" s="91">
        <v>9</v>
      </c>
      <c r="K81" s="91">
        <v>9</v>
      </c>
      <c r="L81" s="91">
        <v>9</v>
      </c>
      <c r="M81" s="6">
        <v>9</v>
      </c>
      <c r="O81" s="7">
        <v>5</v>
      </c>
      <c r="P81" s="8"/>
      <c r="Q81" s="8"/>
      <c r="R81" s="8"/>
      <c r="S81" s="8">
        <v>0</v>
      </c>
      <c r="T81" s="8"/>
      <c r="U81" s="8"/>
      <c r="V81" s="8"/>
      <c r="X81" s="8"/>
      <c r="Y81" s="8"/>
      <c r="Z81" s="9"/>
    </row>
    <row r="82" spans="2:26" x14ac:dyDescent="0.25">
      <c r="B82" s="261"/>
      <c r="C82" s="91">
        <v>9</v>
      </c>
      <c r="D82" s="91">
        <v>9</v>
      </c>
      <c r="E82" s="91">
        <v>9</v>
      </c>
      <c r="F82" s="91">
        <v>10</v>
      </c>
      <c r="G82" s="91">
        <v>9</v>
      </c>
      <c r="H82" s="91">
        <v>10</v>
      </c>
      <c r="I82" s="91">
        <v>10</v>
      </c>
      <c r="J82" s="91">
        <v>10</v>
      </c>
      <c r="K82" s="91">
        <v>9</v>
      </c>
      <c r="L82" s="91">
        <v>9</v>
      </c>
      <c r="M82" s="6">
        <v>10</v>
      </c>
      <c r="O82" s="7">
        <v>5</v>
      </c>
      <c r="P82" s="8"/>
      <c r="Q82" s="8"/>
      <c r="R82" s="8"/>
      <c r="S82" s="8">
        <v>0</v>
      </c>
      <c r="T82" s="8"/>
      <c r="U82" s="8"/>
      <c r="V82" s="8"/>
      <c r="X82" s="8"/>
      <c r="Y82" s="8"/>
      <c r="Z82" s="9"/>
    </row>
    <row r="83" spans="2:26" x14ac:dyDescent="0.25">
      <c r="B83" s="261"/>
      <c r="C83" s="91">
        <v>9</v>
      </c>
      <c r="D83" s="91">
        <v>9</v>
      </c>
      <c r="E83" s="91">
        <v>9</v>
      </c>
      <c r="F83" s="91">
        <v>10</v>
      </c>
      <c r="G83" s="91">
        <v>9</v>
      </c>
      <c r="H83" s="91">
        <v>9</v>
      </c>
      <c r="I83" s="91">
        <v>10</v>
      </c>
      <c r="J83" s="91">
        <v>10</v>
      </c>
      <c r="K83" s="91">
        <v>10</v>
      </c>
      <c r="L83" s="91">
        <v>9</v>
      </c>
      <c r="M83" s="6">
        <v>10</v>
      </c>
      <c r="O83" s="7">
        <v>5</v>
      </c>
      <c r="P83" s="8"/>
      <c r="Q83" s="8"/>
      <c r="R83" s="8"/>
      <c r="S83" s="8">
        <v>0</v>
      </c>
      <c r="T83" s="8"/>
      <c r="U83" s="8"/>
      <c r="V83" s="8"/>
      <c r="X83" s="8"/>
      <c r="Y83" s="8"/>
      <c r="Z83" s="9"/>
    </row>
    <row r="84" spans="2:26" x14ac:dyDescent="0.25">
      <c r="B84" s="261"/>
      <c r="C84" s="91">
        <v>9</v>
      </c>
      <c r="D84" s="91">
        <v>9</v>
      </c>
      <c r="E84" s="91">
        <v>9</v>
      </c>
      <c r="F84" s="91">
        <v>10</v>
      </c>
      <c r="G84" s="91">
        <v>9</v>
      </c>
      <c r="H84" s="91">
        <v>9</v>
      </c>
      <c r="I84" s="91">
        <v>10</v>
      </c>
      <c r="J84" s="91">
        <v>10</v>
      </c>
      <c r="K84" s="91">
        <v>10</v>
      </c>
      <c r="L84" s="91">
        <v>9</v>
      </c>
      <c r="M84" s="6">
        <v>10</v>
      </c>
      <c r="O84" s="7">
        <v>5</v>
      </c>
      <c r="P84" s="8"/>
      <c r="Q84" s="8"/>
      <c r="R84" s="8"/>
      <c r="S84" s="8"/>
      <c r="T84" s="8">
        <v>0</v>
      </c>
      <c r="U84" s="8"/>
      <c r="V84" s="8"/>
      <c r="W84" s="8"/>
      <c r="Y84" s="8"/>
      <c r="Z84" s="9"/>
    </row>
    <row r="85" spans="2:26" x14ac:dyDescent="0.25">
      <c r="B85" s="262"/>
      <c r="C85" s="91">
        <v>9</v>
      </c>
      <c r="D85" s="91">
        <v>9</v>
      </c>
      <c r="E85" s="91">
        <v>9</v>
      </c>
      <c r="F85" s="91">
        <v>10</v>
      </c>
      <c r="G85" s="91">
        <v>9</v>
      </c>
      <c r="H85" s="18">
        <v>9</v>
      </c>
      <c r="I85" s="91">
        <v>10</v>
      </c>
      <c r="J85" s="91">
        <v>10</v>
      </c>
      <c r="K85" s="91">
        <v>10</v>
      </c>
      <c r="L85" s="18">
        <v>10</v>
      </c>
      <c r="M85" s="6">
        <v>10</v>
      </c>
      <c r="O85" s="7">
        <v>5</v>
      </c>
      <c r="P85" s="8"/>
      <c r="Q85" s="8"/>
      <c r="R85" s="8"/>
      <c r="S85" s="8"/>
      <c r="T85" s="8">
        <v>0</v>
      </c>
      <c r="U85" s="8"/>
      <c r="V85" s="8"/>
      <c r="W85" s="8"/>
      <c r="Y85" s="8"/>
      <c r="Z85" s="9"/>
    </row>
    <row r="86" spans="2:26" x14ac:dyDescent="0.25">
      <c r="B86" s="260" t="s">
        <v>52</v>
      </c>
      <c r="C86" s="107">
        <v>8</v>
      </c>
      <c r="D86" s="107">
        <v>8</v>
      </c>
      <c r="E86" s="107">
        <v>9</v>
      </c>
      <c r="F86" s="107">
        <v>8</v>
      </c>
      <c r="G86" s="107">
        <v>9</v>
      </c>
      <c r="H86" s="107">
        <v>8</v>
      </c>
      <c r="I86" s="107">
        <v>9</v>
      </c>
      <c r="J86" s="107">
        <v>8</v>
      </c>
      <c r="K86" s="107">
        <v>0</v>
      </c>
      <c r="L86" s="107">
        <v>0</v>
      </c>
      <c r="M86" s="108">
        <v>8</v>
      </c>
      <c r="O86" s="7">
        <v>5</v>
      </c>
      <c r="P86" s="8"/>
      <c r="Q86" s="8"/>
      <c r="R86" s="8"/>
      <c r="S86" s="8"/>
      <c r="T86" s="8">
        <v>0</v>
      </c>
      <c r="U86" s="8"/>
      <c r="V86" s="8"/>
      <c r="W86" s="8"/>
      <c r="Y86" s="8"/>
      <c r="Z86" s="9"/>
    </row>
    <row r="87" spans="2:26" x14ac:dyDescent="0.25">
      <c r="B87" s="261"/>
      <c r="C87" s="91">
        <v>8</v>
      </c>
      <c r="D87" s="91">
        <v>9</v>
      </c>
      <c r="E87" s="91">
        <v>8</v>
      </c>
      <c r="F87" s="91">
        <v>9</v>
      </c>
      <c r="G87" s="91">
        <v>9</v>
      </c>
      <c r="H87" s="91">
        <v>9</v>
      </c>
      <c r="I87" s="91">
        <v>9</v>
      </c>
      <c r="J87" s="91">
        <v>8</v>
      </c>
      <c r="K87" s="91">
        <v>8</v>
      </c>
      <c r="L87" s="91">
        <v>9</v>
      </c>
      <c r="M87" s="6">
        <v>8</v>
      </c>
      <c r="O87" s="7">
        <v>5</v>
      </c>
      <c r="P87" s="8"/>
      <c r="Q87" s="8"/>
      <c r="R87" s="8"/>
      <c r="S87" s="8"/>
      <c r="T87" s="8">
        <v>0</v>
      </c>
      <c r="U87" s="8"/>
      <c r="V87" s="8"/>
      <c r="W87" s="8"/>
      <c r="Y87" s="8"/>
      <c r="Z87" s="9"/>
    </row>
    <row r="88" spans="2:26" x14ac:dyDescent="0.25">
      <c r="B88" s="261"/>
      <c r="C88" s="91">
        <v>10</v>
      </c>
      <c r="D88" s="91">
        <v>10</v>
      </c>
      <c r="E88" s="91">
        <v>9</v>
      </c>
      <c r="F88" s="91">
        <v>9</v>
      </c>
      <c r="G88" s="91">
        <v>9</v>
      </c>
      <c r="H88" s="91">
        <v>9</v>
      </c>
      <c r="I88" s="91">
        <v>9</v>
      </c>
      <c r="J88" s="91">
        <v>9</v>
      </c>
      <c r="K88" s="91">
        <v>9</v>
      </c>
      <c r="L88" s="91">
        <v>9</v>
      </c>
      <c r="M88" s="6">
        <v>8</v>
      </c>
      <c r="O88" s="7">
        <v>5</v>
      </c>
      <c r="P88" s="8"/>
      <c r="Q88" s="8"/>
      <c r="R88" s="8"/>
      <c r="S88" s="8"/>
      <c r="T88" s="8">
        <v>0</v>
      </c>
      <c r="U88" s="8"/>
      <c r="V88" s="8"/>
      <c r="W88" s="8"/>
      <c r="Y88" s="8"/>
      <c r="Z88" s="9"/>
    </row>
    <row r="89" spans="2:26" x14ac:dyDescent="0.25">
      <c r="B89" s="261"/>
      <c r="C89" s="91">
        <v>10</v>
      </c>
      <c r="D89" s="91">
        <v>10</v>
      </c>
      <c r="E89" s="91">
        <v>9</v>
      </c>
      <c r="F89" s="91">
        <v>9</v>
      </c>
      <c r="G89" s="91">
        <v>9</v>
      </c>
      <c r="H89" s="91">
        <v>10</v>
      </c>
      <c r="I89" s="91">
        <v>9</v>
      </c>
      <c r="J89" s="91">
        <v>9</v>
      </c>
      <c r="K89" s="91">
        <v>9</v>
      </c>
      <c r="L89" s="91">
        <v>9</v>
      </c>
      <c r="M89" s="6">
        <v>9</v>
      </c>
      <c r="O89" s="7">
        <v>5</v>
      </c>
      <c r="P89" s="8"/>
      <c r="Q89" s="8"/>
      <c r="R89" s="8"/>
      <c r="S89" s="8"/>
      <c r="T89" s="8">
        <v>0</v>
      </c>
      <c r="U89" s="8"/>
      <c r="V89" s="8"/>
      <c r="W89" s="8"/>
      <c r="Y89" s="8"/>
      <c r="Z89" s="9"/>
    </row>
    <row r="90" spans="2:26" x14ac:dyDescent="0.25">
      <c r="B90" s="261"/>
      <c r="C90" s="91">
        <v>10</v>
      </c>
      <c r="D90" s="91">
        <v>10</v>
      </c>
      <c r="E90" s="91">
        <v>10</v>
      </c>
      <c r="F90" s="91">
        <v>10</v>
      </c>
      <c r="G90" s="91">
        <v>10</v>
      </c>
      <c r="H90" s="91">
        <v>10</v>
      </c>
      <c r="I90" s="91">
        <v>9</v>
      </c>
      <c r="J90" s="91">
        <v>9</v>
      </c>
      <c r="K90" s="91">
        <v>9</v>
      </c>
      <c r="L90" s="91">
        <v>9</v>
      </c>
      <c r="M90" s="6">
        <v>9</v>
      </c>
      <c r="O90" s="7">
        <v>5</v>
      </c>
      <c r="P90" s="8"/>
      <c r="Q90" s="8"/>
      <c r="R90" s="8"/>
      <c r="S90" s="8"/>
      <c r="T90" s="8">
        <v>0</v>
      </c>
      <c r="U90" s="8"/>
      <c r="V90" s="8"/>
      <c r="W90" s="8"/>
      <c r="Y90" s="8"/>
      <c r="Z90" s="9"/>
    </row>
    <row r="91" spans="2:26" x14ac:dyDescent="0.25">
      <c r="B91" s="261"/>
      <c r="C91" s="91">
        <v>10</v>
      </c>
      <c r="D91" s="91">
        <v>10</v>
      </c>
      <c r="E91" s="91">
        <v>10</v>
      </c>
      <c r="F91" s="91">
        <v>10</v>
      </c>
      <c r="G91" s="91">
        <v>10</v>
      </c>
      <c r="H91" s="91">
        <v>10</v>
      </c>
      <c r="I91" s="91">
        <v>9</v>
      </c>
      <c r="J91" s="91">
        <v>10</v>
      </c>
      <c r="K91" s="91">
        <v>9</v>
      </c>
      <c r="L91" s="91">
        <v>10</v>
      </c>
      <c r="M91" s="6">
        <v>9</v>
      </c>
      <c r="O91" s="7">
        <v>5</v>
      </c>
      <c r="P91" s="8"/>
      <c r="Q91" s="8"/>
      <c r="R91" s="8"/>
      <c r="S91" s="8"/>
      <c r="T91" s="8">
        <v>0</v>
      </c>
      <c r="U91" s="8"/>
      <c r="V91" s="8"/>
      <c r="W91" s="8"/>
      <c r="Y91" s="8"/>
      <c r="Z91" s="9"/>
    </row>
    <row r="92" spans="2:26" x14ac:dyDescent="0.25">
      <c r="B92" s="261"/>
      <c r="C92" s="91">
        <v>10</v>
      </c>
      <c r="D92" s="91">
        <v>10</v>
      </c>
      <c r="E92" s="91">
        <v>10</v>
      </c>
      <c r="F92" s="91">
        <v>10</v>
      </c>
      <c r="G92" s="91">
        <v>10</v>
      </c>
      <c r="H92" s="91">
        <v>10</v>
      </c>
      <c r="I92" s="91">
        <v>9</v>
      </c>
      <c r="J92" s="91">
        <v>10</v>
      </c>
      <c r="K92" s="91">
        <v>10</v>
      </c>
      <c r="L92" s="91">
        <v>10</v>
      </c>
      <c r="M92" s="6">
        <v>9</v>
      </c>
      <c r="O92" s="7">
        <v>5</v>
      </c>
      <c r="P92" s="8"/>
      <c r="Q92" s="8"/>
      <c r="R92" s="8"/>
      <c r="S92" s="8"/>
      <c r="T92" s="8">
        <v>0</v>
      </c>
      <c r="U92" s="8"/>
      <c r="V92" s="8"/>
      <c r="W92" s="8"/>
      <c r="Y92" s="8"/>
      <c r="Z92" s="9"/>
    </row>
    <row r="93" spans="2:26" x14ac:dyDescent="0.25">
      <c r="B93" s="261"/>
      <c r="C93" s="91">
        <v>10</v>
      </c>
      <c r="D93" s="91">
        <v>10</v>
      </c>
      <c r="E93" s="91">
        <v>10</v>
      </c>
      <c r="F93" s="91">
        <v>10</v>
      </c>
      <c r="G93" s="91">
        <v>10</v>
      </c>
      <c r="H93" s="91">
        <v>10</v>
      </c>
      <c r="I93" s="91">
        <v>10</v>
      </c>
      <c r="J93" s="91">
        <v>10</v>
      </c>
      <c r="K93" s="91">
        <v>10</v>
      </c>
      <c r="L93" s="91">
        <v>10</v>
      </c>
      <c r="M93" s="6">
        <v>10</v>
      </c>
      <c r="O93" s="7">
        <v>5</v>
      </c>
      <c r="P93" s="8"/>
      <c r="Q93" s="8"/>
      <c r="R93" s="8"/>
      <c r="S93" s="8"/>
      <c r="T93" s="8">
        <v>0</v>
      </c>
      <c r="U93" s="8"/>
      <c r="V93" s="8"/>
      <c r="W93" s="8"/>
      <c r="Y93" s="8"/>
      <c r="Z93" s="9"/>
    </row>
    <row r="94" spans="2:26" x14ac:dyDescent="0.25">
      <c r="B94" s="261"/>
      <c r="C94" s="91">
        <v>10</v>
      </c>
      <c r="D94" s="91">
        <v>10</v>
      </c>
      <c r="E94" s="91">
        <v>10</v>
      </c>
      <c r="F94" s="91">
        <v>10</v>
      </c>
      <c r="G94" s="91">
        <v>10</v>
      </c>
      <c r="H94" s="91">
        <v>10</v>
      </c>
      <c r="I94" s="91">
        <v>10</v>
      </c>
      <c r="J94" s="91">
        <v>10</v>
      </c>
      <c r="K94" s="91">
        <v>10</v>
      </c>
      <c r="L94" s="91">
        <v>10</v>
      </c>
      <c r="M94" s="6">
        <v>10</v>
      </c>
      <c r="O94" s="7">
        <v>5</v>
      </c>
      <c r="P94" s="8"/>
      <c r="Q94" s="8"/>
      <c r="R94" s="8"/>
      <c r="S94" s="8"/>
      <c r="T94" s="8">
        <v>0</v>
      </c>
      <c r="U94" s="8"/>
      <c r="V94" s="8"/>
      <c r="W94" s="8"/>
      <c r="X94" s="8"/>
      <c r="Z94" s="9"/>
    </row>
    <row r="95" spans="2:26" x14ac:dyDescent="0.25">
      <c r="B95" s="261"/>
      <c r="C95" s="91">
        <v>10</v>
      </c>
      <c r="D95" s="91">
        <v>10</v>
      </c>
      <c r="E95" s="91">
        <v>10</v>
      </c>
      <c r="F95" s="91">
        <v>10</v>
      </c>
      <c r="G95" s="91">
        <v>10</v>
      </c>
      <c r="H95" s="91">
        <v>10</v>
      </c>
      <c r="I95" s="91">
        <v>10</v>
      </c>
      <c r="J95" s="91">
        <v>10</v>
      </c>
      <c r="K95" s="91">
        <v>10</v>
      </c>
      <c r="L95" s="91">
        <v>10</v>
      </c>
      <c r="M95" s="6">
        <v>10</v>
      </c>
      <c r="O95" s="7">
        <v>5</v>
      </c>
      <c r="P95" s="8"/>
      <c r="Q95" s="8"/>
      <c r="R95" s="8"/>
      <c r="S95" s="8"/>
      <c r="T95" s="8">
        <v>0</v>
      </c>
      <c r="U95" s="8"/>
      <c r="V95" s="8"/>
      <c r="W95" s="8"/>
      <c r="X95" s="8"/>
      <c r="Z95" s="9"/>
    </row>
    <row r="96" spans="2:26" x14ac:dyDescent="0.25">
      <c r="B96" s="261"/>
      <c r="C96" s="91">
        <v>8.5</v>
      </c>
      <c r="D96" s="91">
        <v>0</v>
      </c>
      <c r="E96" s="91">
        <v>10</v>
      </c>
      <c r="F96" s="91">
        <v>9</v>
      </c>
      <c r="G96" s="91">
        <v>8</v>
      </c>
      <c r="H96" s="91">
        <v>8</v>
      </c>
      <c r="I96" s="91">
        <v>7</v>
      </c>
      <c r="J96" s="91">
        <v>9</v>
      </c>
      <c r="K96" s="91">
        <v>9</v>
      </c>
      <c r="L96" s="91">
        <v>9</v>
      </c>
      <c r="M96" s="6">
        <v>0</v>
      </c>
      <c r="O96" s="7">
        <v>5</v>
      </c>
      <c r="P96" s="8"/>
      <c r="Q96" s="8"/>
      <c r="R96" s="8"/>
      <c r="S96" s="8"/>
      <c r="T96" s="8">
        <v>0</v>
      </c>
      <c r="U96" s="8"/>
      <c r="V96" s="8"/>
      <c r="W96" s="8"/>
      <c r="X96" s="8"/>
      <c r="Z96" s="9"/>
    </row>
    <row r="97" spans="2:26" x14ac:dyDescent="0.25">
      <c r="B97" s="261"/>
      <c r="C97" s="91">
        <v>8.5</v>
      </c>
      <c r="D97" s="91">
        <v>9</v>
      </c>
      <c r="E97" s="91">
        <v>10</v>
      </c>
      <c r="F97" s="91">
        <v>9</v>
      </c>
      <c r="G97" s="91">
        <v>9.5</v>
      </c>
      <c r="H97" s="91">
        <v>10</v>
      </c>
      <c r="I97" s="91">
        <v>9</v>
      </c>
      <c r="J97" s="91">
        <v>9</v>
      </c>
      <c r="K97" s="91">
        <v>9</v>
      </c>
      <c r="L97" s="91">
        <v>9</v>
      </c>
      <c r="M97" s="6">
        <v>8</v>
      </c>
      <c r="O97" s="7">
        <v>5</v>
      </c>
      <c r="P97" s="8"/>
      <c r="Q97" s="8"/>
      <c r="R97" s="8"/>
      <c r="S97" s="8"/>
      <c r="T97" s="8">
        <v>0</v>
      </c>
      <c r="U97" s="8"/>
      <c r="V97" s="8"/>
      <c r="W97" s="8"/>
      <c r="X97" s="8"/>
      <c r="Z97" s="9"/>
    </row>
    <row r="98" spans="2:26" x14ac:dyDescent="0.25">
      <c r="B98" s="261"/>
      <c r="C98" s="91">
        <v>9</v>
      </c>
      <c r="D98" s="91">
        <v>9</v>
      </c>
      <c r="E98" s="91">
        <v>9</v>
      </c>
      <c r="F98" s="91">
        <v>9</v>
      </c>
      <c r="G98" s="91">
        <v>10</v>
      </c>
      <c r="H98" s="91">
        <v>10</v>
      </c>
      <c r="I98" s="91">
        <v>9</v>
      </c>
      <c r="J98" s="91">
        <v>9</v>
      </c>
      <c r="K98" s="91">
        <v>9</v>
      </c>
      <c r="L98" s="91">
        <v>9</v>
      </c>
      <c r="M98" s="6">
        <v>9</v>
      </c>
      <c r="O98" s="7">
        <v>5</v>
      </c>
      <c r="P98" s="8"/>
      <c r="Q98" s="8"/>
      <c r="R98" s="8"/>
      <c r="S98" s="8"/>
      <c r="T98" s="8">
        <v>0</v>
      </c>
      <c r="U98" s="8"/>
      <c r="V98" s="8"/>
      <c r="W98" s="8"/>
      <c r="X98" s="8"/>
      <c r="Z98" s="9"/>
    </row>
    <row r="99" spans="2:26" x14ac:dyDescent="0.25">
      <c r="B99" s="261"/>
      <c r="C99" s="91">
        <v>9</v>
      </c>
      <c r="D99" s="91">
        <v>9</v>
      </c>
      <c r="E99" s="91">
        <v>9</v>
      </c>
      <c r="F99" s="91">
        <v>9</v>
      </c>
      <c r="G99" s="91">
        <v>10</v>
      </c>
      <c r="H99" s="91">
        <v>10</v>
      </c>
      <c r="I99" s="91">
        <v>9</v>
      </c>
      <c r="J99" s="91">
        <v>9</v>
      </c>
      <c r="K99" s="91">
        <v>9</v>
      </c>
      <c r="L99" s="91">
        <v>9</v>
      </c>
      <c r="M99" s="6">
        <v>9</v>
      </c>
      <c r="O99" s="7">
        <v>5</v>
      </c>
      <c r="P99" s="8"/>
      <c r="Q99" s="8"/>
      <c r="R99" s="8"/>
      <c r="S99" s="8"/>
      <c r="T99" s="8">
        <v>0</v>
      </c>
      <c r="U99" s="8"/>
      <c r="V99" s="8"/>
      <c r="W99" s="8"/>
      <c r="X99" s="8"/>
      <c r="Z99" s="9"/>
    </row>
    <row r="100" spans="2:26" x14ac:dyDescent="0.25">
      <c r="B100" s="261"/>
      <c r="C100" s="91">
        <v>9</v>
      </c>
      <c r="D100" s="91">
        <v>9</v>
      </c>
      <c r="E100" s="91">
        <v>9</v>
      </c>
      <c r="F100" s="91">
        <v>9</v>
      </c>
      <c r="G100" s="91">
        <v>10</v>
      </c>
      <c r="H100" s="91">
        <v>10</v>
      </c>
      <c r="I100" s="91">
        <v>9</v>
      </c>
      <c r="J100" s="91">
        <v>9</v>
      </c>
      <c r="K100" s="91">
        <v>9</v>
      </c>
      <c r="L100" s="91">
        <v>9</v>
      </c>
      <c r="M100" s="6">
        <v>9</v>
      </c>
      <c r="O100" s="7">
        <v>5</v>
      </c>
      <c r="P100" s="8"/>
      <c r="Q100" s="8"/>
      <c r="R100" s="8"/>
      <c r="S100" s="8"/>
      <c r="T100" s="8">
        <v>0</v>
      </c>
      <c r="U100" s="8"/>
      <c r="V100" s="8"/>
      <c r="W100" s="8"/>
      <c r="X100" s="8"/>
      <c r="Z100" s="9"/>
    </row>
    <row r="101" spans="2:26" x14ac:dyDescent="0.25">
      <c r="B101" s="261"/>
      <c r="C101" s="91">
        <v>9</v>
      </c>
      <c r="D101" s="91">
        <v>9</v>
      </c>
      <c r="E101" s="91">
        <v>9</v>
      </c>
      <c r="F101" s="91">
        <v>10</v>
      </c>
      <c r="G101" s="91">
        <v>9</v>
      </c>
      <c r="H101" s="91">
        <v>10</v>
      </c>
      <c r="I101" s="91">
        <v>9</v>
      </c>
      <c r="J101" s="91">
        <v>9</v>
      </c>
      <c r="K101" s="91">
        <v>9</v>
      </c>
      <c r="L101" s="91">
        <v>9</v>
      </c>
      <c r="M101" s="6">
        <v>9</v>
      </c>
      <c r="O101" s="7">
        <v>5</v>
      </c>
      <c r="P101" s="8"/>
      <c r="Q101" s="8"/>
      <c r="R101" s="8"/>
      <c r="S101" s="8"/>
      <c r="T101" s="8">
        <v>0</v>
      </c>
      <c r="U101" s="8"/>
      <c r="V101" s="8"/>
      <c r="W101" s="8"/>
      <c r="X101" s="8"/>
      <c r="Z101" s="9"/>
    </row>
    <row r="102" spans="2:26" x14ac:dyDescent="0.25">
      <c r="B102" s="261"/>
      <c r="C102" s="91">
        <v>9</v>
      </c>
      <c r="D102" s="91">
        <v>9</v>
      </c>
      <c r="E102" s="91">
        <v>9</v>
      </c>
      <c r="F102" s="91">
        <v>10</v>
      </c>
      <c r="G102" s="91">
        <v>9</v>
      </c>
      <c r="H102" s="91">
        <v>10</v>
      </c>
      <c r="I102" s="91">
        <v>10</v>
      </c>
      <c r="J102" s="91">
        <v>10</v>
      </c>
      <c r="K102" s="91">
        <v>9</v>
      </c>
      <c r="L102" s="91">
        <v>9</v>
      </c>
      <c r="M102" s="6">
        <v>10</v>
      </c>
      <c r="O102" s="7">
        <v>5</v>
      </c>
      <c r="P102" s="8"/>
      <c r="Q102" s="8"/>
      <c r="R102" s="8"/>
      <c r="S102" s="8"/>
      <c r="T102" s="8">
        <v>0</v>
      </c>
      <c r="U102" s="8"/>
      <c r="V102" s="8"/>
      <c r="W102" s="8"/>
      <c r="X102" s="8"/>
      <c r="Z102" s="9"/>
    </row>
    <row r="103" spans="2:26" x14ac:dyDescent="0.25">
      <c r="B103" s="261"/>
      <c r="C103" s="91">
        <v>9</v>
      </c>
      <c r="D103" s="91">
        <v>9</v>
      </c>
      <c r="E103" s="91">
        <v>9</v>
      </c>
      <c r="F103" s="91">
        <v>10</v>
      </c>
      <c r="G103" s="91">
        <v>9</v>
      </c>
      <c r="H103" s="91">
        <v>9</v>
      </c>
      <c r="I103" s="91">
        <v>10</v>
      </c>
      <c r="J103" s="91">
        <v>10</v>
      </c>
      <c r="K103" s="91">
        <v>10</v>
      </c>
      <c r="L103" s="91">
        <v>9</v>
      </c>
      <c r="M103" s="6">
        <v>10</v>
      </c>
      <c r="O103" s="7">
        <v>5</v>
      </c>
      <c r="P103" s="8"/>
      <c r="Q103" s="8"/>
      <c r="R103" s="8"/>
      <c r="S103" s="8"/>
      <c r="T103" s="8">
        <v>0</v>
      </c>
      <c r="U103" s="8"/>
      <c r="V103" s="8"/>
      <c r="W103" s="8"/>
      <c r="X103" s="8"/>
      <c r="Z103" s="9"/>
    </row>
    <row r="104" spans="2:26" x14ac:dyDescent="0.25">
      <c r="B104" s="261"/>
      <c r="C104" s="91">
        <v>9</v>
      </c>
      <c r="D104" s="91">
        <v>9</v>
      </c>
      <c r="E104" s="91">
        <v>9</v>
      </c>
      <c r="F104" s="91">
        <v>10</v>
      </c>
      <c r="G104" s="91">
        <v>9</v>
      </c>
      <c r="H104" s="91">
        <v>9</v>
      </c>
      <c r="I104" s="91">
        <v>10</v>
      </c>
      <c r="J104" s="91">
        <v>10</v>
      </c>
      <c r="K104" s="91">
        <v>10</v>
      </c>
      <c r="L104" s="91">
        <v>9</v>
      </c>
      <c r="M104" s="6">
        <v>10</v>
      </c>
      <c r="O104" s="7">
        <v>5</v>
      </c>
      <c r="P104" s="8"/>
      <c r="Q104" s="8"/>
      <c r="R104" s="8"/>
      <c r="S104" s="8"/>
      <c r="T104" s="8"/>
      <c r="U104" s="8">
        <v>0</v>
      </c>
      <c r="V104" s="8"/>
      <c r="W104" s="8"/>
      <c r="X104" s="8"/>
      <c r="Y104" s="8"/>
      <c r="Z104" s="2"/>
    </row>
    <row r="105" spans="2:26" x14ac:dyDescent="0.25">
      <c r="B105" s="262"/>
      <c r="C105" s="18">
        <v>9</v>
      </c>
      <c r="D105" s="18">
        <v>9</v>
      </c>
      <c r="E105" s="18">
        <v>9</v>
      </c>
      <c r="F105" s="18">
        <v>10</v>
      </c>
      <c r="G105" s="18">
        <v>9</v>
      </c>
      <c r="H105" s="18">
        <v>9</v>
      </c>
      <c r="I105" s="18">
        <v>10</v>
      </c>
      <c r="J105" s="18">
        <v>10</v>
      </c>
      <c r="K105" s="18">
        <v>10</v>
      </c>
      <c r="L105" s="18">
        <v>10</v>
      </c>
      <c r="M105" s="19">
        <v>10</v>
      </c>
      <c r="O105" s="7">
        <v>5</v>
      </c>
      <c r="P105" s="8"/>
      <c r="Q105" s="8"/>
      <c r="R105" s="8"/>
      <c r="S105" s="8"/>
      <c r="T105" s="8"/>
      <c r="U105" s="8">
        <v>0</v>
      </c>
      <c r="V105" s="8"/>
      <c r="W105" s="8"/>
      <c r="X105" s="8"/>
      <c r="Y105" s="8"/>
      <c r="Z105" s="2"/>
    </row>
    <row r="106" spans="2:26" x14ac:dyDescent="0.25">
      <c r="B106" s="43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O106" s="7">
        <v>5</v>
      </c>
      <c r="P106" s="8"/>
      <c r="Q106" s="8"/>
      <c r="R106" s="8"/>
      <c r="S106" s="8"/>
      <c r="T106" s="8"/>
      <c r="U106" s="8">
        <v>0</v>
      </c>
      <c r="V106" s="8"/>
      <c r="W106" s="8"/>
      <c r="X106" s="8"/>
      <c r="Y106" s="8"/>
      <c r="Z106" s="2"/>
    </row>
    <row r="107" spans="2:26" x14ac:dyDescent="0.25">
      <c r="B107" s="43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O107" s="7">
        <v>5</v>
      </c>
      <c r="P107" s="8"/>
      <c r="Q107" s="8"/>
      <c r="R107" s="8"/>
      <c r="S107" s="8"/>
      <c r="T107" s="8"/>
      <c r="U107" s="8">
        <v>0</v>
      </c>
      <c r="V107" s="8"/>
      <c r="W107" s="8"/>
      <c r="X107" s="8"/>
      <c r="Y107" s="8"/>
      <c r="Z107" s="2"/>
    </row>
    <row r="108" spans="2:26" x14ac:dyDescent="0.25">
      <c r="B108" s="43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O108" s="7">
        <v>5</v>
      </c>
      <c r="P108" s="8"/>
      <c r="Q108" s="8"/>
      <c r="R108" s="8"/>
      <c r="S108" s="8"/>
      <c r="T108" s="8"/>
      <c r="U108" s="8">
        <v>0</v>
      </c>
      <c r="V108" s="8"/>
      <c r="W108" s="8"/>
      <c r="X108" s="8"/>
      <c r="Y108" s="8"/>
      <c r="Z108" s="2"/>
    </row>
    <row r="109" spans="2:26" x14ac:dyDescent="0.25">
      <c r="B109" s="43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O109" s="7">
        <v>5</v>
      </c>
      <c r="P109" s="8"/>
      <c r="Q109" s="8"/>
      <c r="R109" s="8"/>
      <c r="S109" s="8"/>
      <c r="T109" s="8"/>
      <c r="U109" s="8">
        <v>0</v>
      </c>
      <c r="V109" s="8"/>
      <c r="W109" s="8"/>
      <c r="X109" s="8"/>
      <c r="Y109" s="8"/>
      <c r="Z109" s="2"/>
    </row>
    <row r="110" spans="2:26" x14ac:dyDescent="0.25">
      <c r="B110" s="43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O110" s="7">
        <v>5</v>
      </c>
      <c r="P110" s="8"/>
      <c r="Q110" s="8"/>
      <c r="R110" s="8"/>
      <c r="S110" s="8"/>
      <c r="T110" s="8"/>
      <c r="U110" s="8">
        <v>0</v>
      </c>
      <c r="V110" s="8"/>
      <c r="W110" s="8"/>
      <c r="X110" s="8"/>
      <c r="Y110" s="8"/>
      <c r="Z110" s="2"/>
    </row>
    <row r="111" spans="2:26" x14ac:dyDescent="0.25">
      <c r="B111" s="43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O111" s="7">
        <v>5</v>
      </c>
      <c r="P111" s="8"/>
      <c r="Q111" s="8"/>
      <c r="R111" s="8"/>
      <c r="S111" s="8"/>
      <c r="T111" s="8"/>
      <c r="U111" s="8">
        <v>0</v>
      </c>
      <c r="V111" s="8"/>
      <c r="W111" s="8"/>
      <c r="X111" s="8"/>
      <c r="Y111" s="8"/>
      <c r="Z111" s="2"/>
    </row>
    <row r="112" spans="2:26" x14ac:dyDescent="0.25">
      <c r="B112" s="4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O112" s="7">
        <v>5</v>
      </c>
      <c r="P112" s="8"/>
      <c r="Q112" s="8"/>
      <c r="R112" s="8"/>
      <c r="S112" s="8"/>
      <c r="T112" s="8"/>
      <c r="U112" s="8">
        <v>0</v>
      </c>
      <c r="V112" s="8"/>
      <c r="W112" s="8"/>
      <c r="X112" s="8"/>
      <c r="Y112" s="8"/>
      <c r="Z112" s="2"/>
    </row>
    <row r="113" spans="2:26" x14ac:dyDescent="0.25">
      <c r="B113" s="43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O113" s="7">
        <v>5</v>
      </c>
      <c r="P113" s="8"/>
      <c r="Q113" s="8"/>
      <c r="R113" s="8"/>
      <c r="S113" s="8"/>
      <c r="T113" s="8"/>
      <c r="U113" s="8">
        <v>0</v>
      </c>
      <c r="V113" s="8"/>
      <c r="W113" s="8"/>
      <c r="X113" s="8"/>
      <c r="Y113" s="8"/>
      <c r="Z113" s="2"/>
    </row>
    <row r="114" spans="2:26" x14ac:dyDescent="0.25">
      <c r="B114" s="43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O114" s="7">
        <v>5</v>
      </c>
      <c r="U114" s="8">
        <v>0</v>
      </c>
      <c r="Z114" s="2"/>
    </row>
    <row r="115" spans="2:26" x14ac:dyDescent="0.25">
      <c r="B115" s="43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O115" s="7">
        <v>5</v>
      </c>
      <c r="U115" s="8">
        <v>0</v>
      </c>
      <c r="Z115" s="2"/>
    </row>
    <row r="116" spans="2:26" x14ac:dyDescent="0.25">
      <c r="B116" s="43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O116" s="7">
        <v>5</v>
      </c>
      <c r="U116" s="8">
        <v>0</v>
      </c>
      <c r="Z116" s="2"/>
    </row>
    <row r="117" spans="2:26" x14ac:dyDescent="0.25">
      <c r="B117" s="43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O117" s="7">
        <v>5</v>
      </c>
      <c r="U117" s="8">
        <v>0</v>
      </c>
      <c r="Z117" s="2"/>
    </row>
    <row r="118" spans="2:26" x14ac:dyDescent="0.25">
      <c r="B118" s="43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O118" s="7">
        <v>5</v>
      </c>
      <c r="U118" s="8">
        <v>0</v>
      </c>
      <c r="Z118" s="2"/>
    </row>
    <row r="119" spans="2:26" x14ac:dyDescent="0.25">
      <c r="B119" s="43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O119" s="7">
        <v>5</v>
      </c>
      <c r="U119" s="8">
        <v>0</v>
      </c>
      <c r="Z119" s="2"/>
    </row>
    <row r="120" spans="2:26" x14ac:dyDescent="0.25">
      <c r="B120" s="43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O120" s="7">
        <v>5</v>
      </c>
      <c r="U120" s="8">
        <v>0</v>
      </c>
      <c r="Z120" s="2"/>
    </row>
    <row r="121" spans="2:26" x14ac:dyDescent="0.25">
      <c r="B121" s="43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O121" s="7">
        <v>5</v>
      </c>
      <c r="U121" s="8">
        <v>0</v>
      </c>
      <c r="Z121" s="2"/>
    </row>
    <row r="122" spans="2:26" x14ac:dyDescent="0.25">
      <c r="B122" s="43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O122" s="7">
        <v>5</v>
      </c>
      <c r="U122" s="8">
        <v>0</v>
      </c>
      <c r="Z122" s="2"/>
    </row>
    <row r="123" spans="2:26" x14ac:dyDescent="0.25">
      <c r="B123" s="43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O123" s="7">
        <v>5</v>
      </c>
      <c r="U123" s="8">
        <v>0</v>
      </c>
      <c r="Z123" s="2"/>
    </row>
    <row r="124" spans="2:26" x14ac:dyDescent="0.25">
      <c r="B124" s="43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O124" s="7">
        <v>5</v>
      </c>
      <c r="V124" s="8">
        <v>0</v>
      </c>
      <c r="Z124" s="2"/>
    </row>
    <row r="125" spans="2:26" x14ac:dyDescent="0.25">
      <c r="B125" s="43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O125" s="7">
        <v>5</v>
      </c>
      <c r="V125" s="8">
        <v>0</v>
      </c>
      <c r="Z125" s="2"/>
    </row>
    <row r="126" spans="2:26" x14ac:dyDescent="0.25">
      <c r="B126" s="43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O126" s="7">
        <v>5</v>
      </c>
      <c r="V126" s="8">
        <v>0</v>
      </c>
      <c r="Z126" s="2"/>
    </row>
    <row r="127" spans="2:26" x14ac:dyDescent="0.25">
      <c r="B127" s="43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O127" s="7">
        <v>5</v>
      </c>
      <c r="V127" s="8">
        <v>0</v>
      </c>
      <c r="Z127" s="2"/>
    </row>
    <row r="128" spans="2:26" x14ac:dyDescent="0.25">
      <c r="B128" s="43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O128" s="7">
        <v>5</v>
      </c>
      <c r="V128" s="8">
        <v>0</v>
      </c>
      <c r="Z128" s="2"/>
    </row>
    <row r="129" spans="2:26" x14ac:dyDescent="0.25">
      <c r="B129" s="43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O129" s="7">
        <v>5</v>
      </c>
      <c r="V129" s="8">
        <v>0</v>
      </c>
      <c r="Z129" s="2"/>
    </row>
    <row r="130" spans="2:26" x14ac:dyDescent="0.25">
      <c r="B130" s="43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O130" s="7">
        <v>5</v>
      </c>
      <c r="V130" s="8">
        <v>0</v>
      </c>
      <c r="Z130" s="2"/>
    </row>
    <row r="131" spans="2:26" x14ac:dyDescent="0.25">
      <c r="B131" s="43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O131" s="7">
        <v>5</v>
      </c>
      <c r="V131" s="8">
        <v>0</v>
      </c>
      <c r="Z131" s="2"/>
    </row>
    <row r="132" spans="2:26" x14ac:dyDescent="0.25">
      <c r="B132" s="43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O132" s="7">
        <v>5</v>
      </c>
      <c r="V132" s="8">
        <v>0</v>
      </c>
      <c r="Z132" s="2"/>
    </row>
    <row r="133" spans="2:26" x14ac:dyDescent="0.25">
      <c r="B133" s="43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O133" s="7">
        <v>5</v>
      </c>
      <c r="V133" s="8">
        <v>0</v>
      </c>
      <c r="Z133" s="2"/>
    </row>
    <row r="134" spans="2:26" x14ac:dyDescent="0.25">
      <c r="B134" s="43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O134" s="7">
        <v>5</v>
      </c>
      <c r="V134" s="8">
        <v>0</v>
      </c>
      <c r="Z134" s="2"/>
    </row>
    <row r="135" spans="2:26" x14ac:dyDescent="0.25">
      <c r="B135" s="43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O135" s="7">
        <v>5</v>
      </c>
      <c r="V135" s="8">
        <v>0</v>
      </c>
      <c r="Z135" s="2"/>
    </row>
    <row r="136" spans="2:26" x14ac:dyDescent="0.25">
      <c r="B136" s="43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O136" s="7">
        <v>5</v>
      </c>
      <c r="V136" s="8">
        <v>0</v>
      </c>
      <c r="Z136" s="2"/>
    </row>
    <row r="137" spans="2:26" x14ac:dyDescent="0.25">
      <c r="B137" s="43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O137" s="7">
        <v>5</v>
      </c>
      <c r="V137" s="8">
        <v>0</v>
      </c>
      <c r="Z137" s="2"/>
    </row>
    <row r="138" spans="2:26" x14ac:dyDescent="0.25">
      <c r="B138" s="43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O138" s="7">
        <v>5</v>
      </c>
      <c r="V138" s="8">
        <v>0</v>
      </c>
      <c r="Z138" s="2"/>
    </row>
    <row r="139" spans="2:26" x14ac:dyDescent="0.25">
      <c r="B139" s="43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O139" s="7">
        <v>5</v>
      </c>
      <c r="V139" s="8">
        <v>0</v>
      </c>
      <c r="Z139" s="2"/>
    </row>
    <row r="140" spans="2:26" x14ac:dyDescent="0.25">
      <c r="B140" s="43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O140" s="7">
        <v>5</v>
      </c>
      <c r="V140" s="8">
        <v>0</v>
      </c>
      <c r="Z140" s="2"/>
    </row>
    <row r="141" spans="2:26" x14ac:dyDescent="0.25">
      <c r="B141" s="43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O141" s="7">
        <v>5</v>
      </c>
      <c r="V141" s="8">
        <v>0</v>
      </c>
      <c r="Z141" s="2"/>
    </row>
    <row r="142" spans="2:26" x14ac:dyDescent="0.25">
      <c r="B142" s="43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O142" s="7">
        <v>5</v>
      </c>
      <c r="V142" s="8">
        <v>0</v>
      </c>
      <c r="Z142" s="2"/>
    </row>
    <row r="143" spans="2:26" x14ac:dyDescent="0.25">
      <c r="B143" s="43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O143" s="7">
        <v>5</v>
      </c>
      <c r="V143" s="8">
        <v>0</v>
      </c>
      <c r="Z143" s="2"/>
    </row>
    <row r="144" spans="2:26" x14ac:dyDescent="0.25">
      <c r="O144" s="7">
        <v>5</v>
      </c>
      <c r="W144" s="8">
        <v>0</v>
      </c>
      <c r="Z144" s="2"/>
    </row>
    <row r="145" spans="15:26" x14ac:dyDescent="0.25">
      <c r="O145" s="7">
        <v>5</v>
      </c>
      <c r="W145" s="8">
        <v>0</v>
      </c>
      <c r="Z145" s="2"/>
    </row>
    <row r="146" spans="15:26" x14ac:dyDescent="0.25">
      <c r="O146" s="7">
        <v>5</v>
      </c>
      <c r="W146" s="8">
        <v>0</v>
      </c>
      <c r="Z146" s="2"/>
    </row>
    <row r="147" spans="15:26" x14ac:dyDescent="0.25">
      <c r="O147" s="7">
        <v>5</v>
      </c>
      <c r="W147" s="8">
        <v>0</v>
      </c>
      <c r="Z147" s="2"/>
    </row>
    <row r="148" spans="15:26" x14ac:dyDescent="0.25">
      <c r="O148" s="7">
        <v>5</v>
      </c>
      <c r="W148" s="8">
        <v>0</v>
      </c>
      <c r="Z148" s="2"/>
    </row>
    <row r="149" spans="15:26" x14ac:dyDescent="0.25">
      <c r="O149" s="7">
        <v>5</v>
      </c>
      <c r="W149" s="8">
        <v>0</v>
      </c>
      <c r="Z149" s="2"/>
    </row>
    <row r="150" spans="15:26" x14ac:dyDescent="0.25">
      <c r="O150" s="7">
        <v>5</v>
      </c>
      <c r="W150" s="8">
        <v>0</v>
      </c>
      <c r="Z150" s="2"/>
    </row>
    <row r="151" spans="15:26" x14ac:dyDescent="0.25">
      <c r="O151" s="7">
        <v>5</v>
      </c>
      <c r="W151" s="8">
        <v>0</v>
      </c>
      <c r="Z151" s="2"/>
    </row>
    <row r="152" spans="15:26" x14ac:dyDescent="0.25">
      <c r="O152" s="7">
        <v>5</v>
      </c>
      <c r="W152" s="8">
        <v>0</v>
      </c>
      <c r="Z152" s="2"/>
    </row>
    <row r="153" spans="15:26" x14ac:dyDescent="0.25">
      <c r="O153" s="7">
        <v>5</v>
      </c>
      <c r="W153" s="8">
        <v>0</v>
      </c>
      <c r="Z153" s="2"/>
    </row>
    <row r="154" spans="15:26" x14ac:dyDescent="0.25">
      <c r="O154" s="7">
        <v>5</v>
      </c>
      <c r="W154" s="8">
        <v>0</v>
      </c>
      <c r="Z154" s="2"/>
    </row>
    <row r="155" spans="15:26" x14ac:dyDescent="0.25">
      <c r="O155" s="7">
        <v>5</v>
      </c>
      <c r="W155" s="8">
        <v>0</v>
      </c>
      <c r="Z155" s="2"/>
    </row>
    <row r="156" spans="15:26" x14ac:dyDescent="0.25">
      <c r="O156" s="7">
        <v>5</v>
      </c>
      <c r="W156" s="8">
        <v>0</v>
      </c>
      <c r="Z156" s="2"/>
    </row>
    <row r="157" spans="15:26" x14ac:dyDescent="0.25">
      <c r="O157" s="7">
        <v>5</v>
      </c>
      <c r="W157" s="8">
        <v>0</v>
      </c>
      <c r="Z157" s="2"/>
    </row>
    <row r="158" spans="15:26" x14ac:dyDescent="0.25">
      <c r="O158" s="7">
        <v>5</v>
      </c>
      <c r="W158" s="8">
        <v>0</v>
      </c>
      <c r="Z158" s="2"/>
    </row>
    <row r="159" spans="15:26" x14ac:dyDescent="0.25">
      <c r="O159" s="7">
        <v>5</v>
      </c>
      <c r="W159" s="8">
        <v>0</v>
      </c>
      <c r="Z159" s="2"/>
    </row>
    <row r="160" spans="15:26" x14ac:dyDescent="0.25">
      <c r="O160" s="7">
        <v>5</v>
      </c>
      <c r="W160" s="8">
        <v>0</v>
      </c>
      <c r="Z160" s="2"/>
    </row>
    <row r="161" spans="15:26" x14ac:dyDescent="0.25">
      <c r="O161" s="7">
        <v>5</v>
      </c>
      <c r="W161" s="8">
        <v>0</v>
      </c>
      <c r="Z161" s="2"/>
    </row>
    <row r="162" spans="15:26" x14ac:dyDescent="0.25">
      <c r="O162" s="7">
        <v>5</v>
      </c>
      <c r="W162" s="8">
        <v>0</v>
      </c>
      <c r="Z162" s="2"/>
    </row>
    <row r="163" spans="15:26" x14ac:dyDescent="0.25">
      <c r="O163" s="7">
        <v>5</v>
      </c>
      <c r="W163" s="8">
        <v>0</v>
      </c>
      <c r="Z163" s="2"/>
    </row>
    <row r="164" spans="15:26" x14ac:dyDescent="0.25">
      <c r="O164" s="7">
        <v>2</v>
      </c>
      <c r="X164" s="109">
        <v>1</v>
      </c>
      <c r="Z164" s="2"/>
    </row>
    <row r="165" spans="15:26" x14ac:dyDescent="0.25">
      <c r="O165" s="7">
        <v>5</v>
      </c>
      <c r="X165" s="109">
        <v>0</v>
      </c>
      <c r="Z165" s="2"/>
    </row>
    <row r="166" spans="15:26" x14ac:dyDescent="0.25">
      <c r="O166" s="7">
        <v>5</v>
      </c>
      <c r="X166" s="109">
        <v>0</v>
      </c>
      <c r="Z166" s="2"/>
    </row>
    <row r="167" spans="15:26" x14ac:dyDescent="0.25">
      <c r="O167" s="7">
        <v>5</v>
      </c>
      <c r="X167" s="109">
        <v>0</v>
      </c>
      <c r="Z167" s="2"/>
    </row>
    <row r="168" spans="15:26" x14ac:dyDescent="0.25">
      <c r="O168" s="7">
        <v>5</v>
      </c>
      <c r="X168" s="109">
        <v>0</v>
      </c>
      <c r="Z168" s="2"/>
    </row>
    <row r="169" spans="15:26" x14ac:dyDescent="0.25">
      <c r="O169" s="7">
        <v>5</v>
      </c>
      <c r="X169" s="109">
        <v>0</v>
      </c>
      <c r="Z169" s="2"/>
    </row>
    <row r="170" spans="15:26" x14ac:dyDescent="0.25">
      <c r="O170" s="7">
        <v>5</v>
      </c>
      <c r="X170" s="109">
        <v>0</v>
      </c>
      <c r="Z170" s="2"/>
    </row>
    <row r="171" spans="15:26" x14ac:dyDescent="0.25">
      <c r="O171" s="7">
        <v>5</v>
      </c>
      <c r="X171" s="109">
        <v>0</v>
      </c>
      <c r="Z171" s="2"/>
    </row>
    <row r="172" spans="15:26" x14ac:dyDescent="0.25">
      <c r="O172" s="7">
        <v>5</v>
      </c>
      <c r="X172" s="109">
        <v>0</v>
      </c>
      <c r="Z172" s="2"/>
    </row>
    <row r="173" spans="15:26" x14ac:dyDescent="0.25">
      <c r="O173" s="7">
        <v>5</v>
      </c>
      <c r="X173" s="109">
        <v>0</v>
      </c>
      <c r="Z173" s="2"/>
    </row>
    <row r="174" spans="15:26" x14ac:dyDescent="0.25">
      <c r="O174" s="7">
        <v>5</v>
      </c>
      <c r="X174" s="109">
        <v>0</v>
      </c>
      <c r="Z174" s="2"/>
    </row>
    <row r="175" spans="15:26" x14ac:dyDescent="0.25">
      <c r="O175" s="7">
        <v>5</v>
      </c>
      <c r="X175" s="109">
        <v>0</v>
      </c>
      <c r="Z175" s="2"/>
    </row>
    <row r="176" spans="15:26" x14ac:dyDescent="0.25">
      <c r="O176" s="7">
        <v>5</v>
      </c>
      <c r="X176" s="109">
        <v>0</v>
      </c>
      <c r="Z176" s="2"/>
    </row>
    <row r="177" spans="15:26" x14ac:dyDescent="0.25">
      <c r="O177" s="7">
        <v>5</v>
      </c>
      <c r="X177" s="109">
        <v>0</v>
      </c>
      <c r="Z177" s="2"/>
    </row>
    <row r="178" spans="15:26" x14ac:dyDescent="0.25">
      <c r="O178" s="7">
        <v>5</v>
      </c>
      <c r="X178" s="109">
        <v>0</v>
      </c>
      <c r="Z178" s="2"/>
    </row>
    <row r="179" spans="15:26" x14ac:dyDescent="0.25">
      <c r="O179" s="7">
        <v>5</v>
      </c>
      <c r="X179" s="109">
        <v>0</v>
      </c>
      <c r="Z179" s="2"/>
    </row>
    <row r="180" spans="15:26" x14ac:dyDescent="0.25">
      <c r="O180" s="7">
        <v>5</v>
      </c>
      <c r="X180" s="109">
        <v>0</v>
      </c>
      <c r="Z180" s="2"/>
    </row>
    <row r="181" spans="15:26" x14ac:dyDescent="0.25">
      <c r="O181" s="7">
        <v>5</v>
      </c>
      <c r="X181" s="109">
        <v>0</v>
      </c>
      <c r="Z181" s="2"/>
    </row>
    <row r="182" spans="15:26" x14ac:dyDescent="0.25">
      <c r="O182" s="7">
        <v>5</v>
      </c>
      <c r="X182" s="109">
        <v>0</v>
      </c>
      <c r="Z182" s="2"/>
    </row>
    <row r="183" spans="15:26" x14ac:dyDescent="0.25">
      <c r="O183" s="7">
        <v>5</v>
      </c>
      <c r="X183" s="109">
        <v>0</v>
      </c>
      <c r="Z183" s="2"/>
    </row>
    <row r="184" spans="15:26" x14ac:dyDescent="0.25">
      <c r="O184" s="7">
        <v>2</v>
      </c>
      <c r="Y184" s="109">
        <v>1</v>
      </c>
      <c r="Z184" s="2"/>
    </row>
    <row r="185" spans="15:26" x14ac:dyDescent="0.25">
      <c r="O185" s="7">
        <v>5</v>
      </c>
      <c r="Y185" s="109">
        <v>0</v>
      </c>
      <c r="Z185" s="2"/>
    </row>
    <row r="186" spans="15:26" x14ac:dyDescent="0.25">
      <c r="O186" s="7">
        <v>5</v>
      </c>
      <c r="Y186" s="109">
        <v>0</v>
      </c>
      <c r="Z186" s="2"/>
    </row>
    <row r="187" spans="15:26" x14ac:dyDescent="0.25">
      <c r="O187" s="7">
        <v>5</v>
      </c>
      <c r="Y187" s="109">
        <v>0</v>
      </c>
      <c r="Z187" s="2"/>
    </row>
    <row r="188" spans="15:26" x14ac:dyDescent="0.25">
      <c r="O188" s="7">
        <v>5</v>
      </c>
      <c r="Y188" s="109">
        <v>0</v>
      </c>
      <c r="Z188" s="2"/>
    </row>
    <row r="189" spans="15:26" x14ac:dyDescent="0.25">
      <c r="O189" s="7">
        <v>5</v>
      </c>
      <c r="Y189" s="109">
        <v>0</v>
      </c>
      <c r="Z189" s="2"/>
    </row>
    <row r="190" spans="15:26" x14ac:dyDescent="0.25">
      <c r="O190" s="7">
        <v>5</v>
      </c>
      <c r="Y190" s="109">
        <v>0</v>
      </c>
      <c r="Z190" s="2"/>
    </row>
    <row r="191" spans="15:26" x14ac:dyDescent="0.25">
      <c r="O191" s="7">
        <v>5</v>
      </c>
      <c r="Y191" s="109">
        <v>0</v>
      </c>
      <c r="Z191" s="2"/>
    </row>
    <row r="192" spans="15:26" x14ac:dyDescent="0.25">
      <c r="O192" s="7">
        <v>5</v>
      </c>
      <c r="Y192" s="109">
        <v>0</v>
      </c>
      <c r="Z192" s="2"/>
    </row>
    <row r="193" spans="15:26" x14ac:dyDescent="0.25">
      <c r="O193" s="7">
        <v>5</v>
      </c>
      <c r="Y193" s="109">
        <v>0</v>
      </c>
      <c r="Z193" s="2"/>
    </row>
    <row r="194" spans="15:26" x14ac:dyDescent="0.25">
      <c r="O194" s="7">
        <v>5</v>
      </c>
      <c r="Y194" s="109">
        <v>0</v>
      </c>
      <c r="Z194" s="2"/>
    </row>
    <row r="195" spans="15:26" x14ac:dyDescent="0.25">
      <c r="O195" s="7">
        <v>5</v>
      </c>
      <c r="Y195" s="109">
        <v>0</v>
      </c>
      <c r="Z195" s="2"/>
    </row>
    <row r="196" spans="15:26" x14ac:dyDescent="0.25">
      <c r="O196" s="7">
        <v>5</v>
      </c>
      <c r="Y196" s="109">
        <v>0</v>
      </c>
      <c r="Z196" s="2"/>
    </row>
    <row r="197" spans="15:26" x14ac:dyDescent="0.25">
      <c r="O197" s="7">
        <v>5</v>
      </c>
      <c r="Y197" s="109">
        <v>0</v>
      </c>
      <c r="Z197" s="2"/>
    </row>
    <row r="198" spans="15:26" x14ac:dyDescent="0.25">
      <c r="O198" s="7">
        <v>5</v>
      </c>
      <c r="Y198" s="109">
        <v>0</v>
      </c>
      <c r="Z198" s="2"/>
    </row>
    <row r="199" spans="15:26" x14ac:dyDescent="0.25">
      <c r="O199" s="7">
        <v>5</v>
      </c>
      <c r="Y199" s="109">
        <v>0</v>
      </c>
      <c r="Z199" s="2"/>
    </row>
    <row r="200" spans="15:26" x14ac:dyDescent="0.25">
      <c r="O200" s="7">
        <v>5</v>
      </c>
      <c r="Y200" s="109">
        <v>0</v>
      </c>
      <c r="Z200" s="2"/>
    </row>
    <row r="201" spans="15:26" x14ac:dyDescent="0.25">
      <c r="O201" s="7">
        <v>5</v>
      </c>
      <c r="Y201" s="109">
        <v>0</v>
      </c>
      <c r="Z201" s="2"/>
    </row>
    <row r="202" spans="15:26" x14ac:dyDescent="0.25">
      <c r="O202" s="7">
        <v>5</v>
      </c>
      <c r="Y202" s="109">
        <v>0</v>
      </c>
      <c r="Z202" s="2"/>
    </row>
    <row r="203" spans="15:26" x14ac:dyDescent="0.25">
      <c r="O203" s="7">
        <v>5</v>
      </c>
      <c r="Y203" s="109">
        <v>0</v>
      </c>
      <c r="Z203" s="2"/>
    </row>
    <row r="204" spans="15:26" x14ac:dyDescent="0.25">
      <c r="O204" s="7">
        <v>4</v>
      </c>
      <c r="Z204" s="6">
        <v>1</v>
      </c>
    </row>
    <row r="205" spans="15:26" x14ac:dyDescent="0.25">
      <c r="O205" s="7">
        <v>5</v>
      </c>
      <c r="Z205" s="6">
        <v>0</v>
      </c>
    </row>
    <row r="206" spans="15:26" x14ac:dyDescent="0.25">
      <c r="O206" s="7">
        <v>5</v>
      </c>
      <c r="Z206" s="6">
        <v>0</v>
      </c>
    </row>
    <row r="207" spans="15:26" x14ac:dyDescent="0.25">
      <c r="O207" s="7">
        <v>5</v>
      </c>
      <c r="Z207" s="6">
        <v>0</v>
      </c>
    </row>
    <row r="208" spans="15:26" x14ac:dyDescent="0.25">
      <c r="O208" s="7">
        <v>5</v>
      </c>
      <c r="Z208" s="6">
        <v>0</v>
      </c>
    </row>
    <row r="209" spans="15:26" x14ac:dyDescent="0.25">
      <c r="O209" s="7">
        <v>5</v>
      </c>
      <c r="Z209" s="6">
        <v>0</v>
      </c>
    </row>
    <row r="210" spans="15:26" x14ac:dyDescent="0.25">
      <c r="O210" s="7">
        <v>5</v>
      </c>
      <c r="Z210" s="6">
        <v>0</v>
      </c>
    </row>
    <row r="211" spans="15:26" x14ac:dyDescent="0.25">
      <c r="O211" s="7">
        <v>5</v>
      </c>
      <c r="Z211" s="6">
        <v>0</v>
      </c>
    </row>
    <row r="212" spans="15:26" x14ac:dyDescent="0.25">
      <c r="O212" s="7">
        <v>5</v>
      </c>
      <c r="Z212" s="6">
        <v>0</v>
      </c>
    </row>
    <row r="213" spans="15:26" x14ac:dyDescent="0.25">
      <c r="O213" s="7">
        <v>5</v>
      </c>
      <c r="Z213" s="6">
        <v>0</v>
      </c>
    </row>
    <row r="214" spans="15:26" x14ac:dyDescent="0.25">
      <c r="O214" s="7">
        <v>5</v>
      </c>
      <c r="Z214" s="6">
        <v>0</v>
      </c>
    </row>
    <row r="215" spans="15:26" x14ac:dyDescent="0.25">
      <c r="O215" s="7">
        <v>5</v>
      </c>
      <c r="Z215" s="6">
        <v>0</v>
      </c>
    </row>
    <row r="216" spans="15:26" x14ac:dyDescent="0.25">
      <c r="O216" s="7">
        <v>5</v>
      </c>
      <c r="Z216" s="6">
        <v>0</v>
      </c>
    </row>
    <row r="217" spans="15:26" x14ac:dyDescent="0.25">
      <c r="O217" s="7">
        <v>5</v>
      </c>
      <c r="Z217" s="6">
        <v>0</v>
      </c>
    </row>
    <row r="218" spans="15:26" x14ac:dyDescent="0.25">
      <c r="O218" s="7">
        <v>5</v>
      </c>
      <c r="Z218" s="6">
        <v>0</v>
      </c>
    </row>
    <row r="219" spans="15:26" x14ac:dyDescent="0.25">
      <c r="O219" s="7">
        <v>5</v>
      </c>
      <c r="Z219" s="6">
        <v>0</v>
      </c>
    </row>
    <row r="220" spans="15:26" x14ac:dyDescent="0.25">
      <c r="O220" s="7">
        <v>5</v>
      </c>
      <c r="Z220" s="6">
        <v>0</v>
      </c>
    </row>
    <row r="221" spans="15:26" x14ac:dyDescent="0.25">
      <c r="O221" s="7">
        <v>5</v>
      </c>
      <c r="Z221" s="6">
        <v>0</v>
      </c>
    </row>
    <row r="222" spans="15:26" x14ac:dyDescent="0.25">
      <c r="O222" s="7">
        <v>5</v>
      </c>
      <c r="Z222" s="6">
        <v>0</v>
      </c>
    </row>
    <row r="223" spans="15:26" x14ac:dyDescent="0.25">
      <c r="O223" s="34">
        <v>5</v>
      </c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9">
        <v>0</v>
      </c>
    </row>
  </sheetData>
  <mergeCells count="7">
    <mergeCell ref="B86:B105"/>
    <mergeCell ref="B3:M3"/>
    <mergeCell ref="B6:B25"/>
    <mergeCell ref="B26:B45"/>
    <mergeCell ref="B46:B65"/>
    <mergeCell ref="B66:B85"/>
    <mergeCell ref="B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8C48-E519-4D03-98D6-19D2887C74D2}">
  <dimension ref="A1:AZ71"/>
  <sheetViews>
    <sheetView zoomScale="84" workbookViewId="0">
      <selection activeCell="N8" sqref="N8"/>
    </sheetView>
  </sheetViews>
  <sheetFormatPr defaultRowHeight="15" x14ac:dyDescent="0.25"/>
  <cols>
    <col min="28" max="28" width="44.28515625" customWidth="1"/>
  </cols>
  <sheetData>
    <row r="1" spans="1:52" x14ac:dyDescent="0.25">
      <c r="A1" s="121" t="s">
        <v>229</v>
      </c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</row>
    <row r="2" spans="1:52" x14ac:dyDescent="0.25">
      <c r="A2" s="269" t="s">
        <v>53</v>
      </c>
      <c r="B2" s="270"/>
      <c r="C2" s="270"/>
      <c r="D2" s="270"/>
      <c r="E2" s="270"/>
      <c r="F2" s="270"/>
      <c r="G2" s="270"/>
      <c r="H2" s="270"/>
      <c r="I2" s="270"/>
      <c r="J2" s="270"/>
      <c r="K2" s="271"/>
      <c r="L2" s="96"/>
      <c r="M2" s="96"/>
      <c r="N2" s="96"/>
      <c r="O2" s="83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96"/>
      <c r="AB2" s="96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O2" s="111"/>
      <c r="AP2" s="113"/>
      <c r="AQ2" s="113"/>
      <c r="AR2" s="95"/>
      <c r="AS2" s="113"/>
      <c r="AT2" s="113"/>
      <c r="AU2" s="113"/>
      <c r="AV2" s="113"/>
      <c r="AW2" s="113"/>
      <c r="AX2" s="113"/>
      <c r="AY2" s="113"/>
      <c r="AZ2" s="113"/>
    </row>
    <row r="3" spans="1:52" x14ac:dyDescent="0.25">
      <c r="A3" s="194" t="s">
        <v>3</v>
      </c>
      <c r="B3" s="113" t="s">
        <v>39</v>
      </c>
      <c r="C3" s="165" t="s">
        <v>40</v>
      </c>
      <c r="D3" s="113" t="s">
        <v>41</v>
      </c>
      <c r="E3" s="113" t="s">
        <v>42</v>
      </c>
      <c r="F3" s="113" t="s">
        <v>43</v>
      </c>
      <c r="G3" s="113" t="s">
        <v>44</v>
      </c>
      <c r="H3" s="113" t="s">
        <v>45</v>
      </c>
      <c r="I3" s="113" t="s">
        <v>46</v>
      </c>
      <c r="J3" s="113" t="s">
        <v>47</v>
      </c>
      <c r="K3" s="195" t="s">
        <v>48</v>
      </c>
      <c r="L3" s="113"/>
      <c r="M3" s="96"/>
      <c r="N3" s="96"/>
      <c r="O3" s="96"/>
      <c r="P3" s="96"/>
      <c r="Q3" s="96"/>
      <c r="R3" s="96"/>
      <c r="S3" s="113"/>
      <c r="T3" s="96"/>
      <c r="U3" s="113"/>
      <c r="V3" s="96"/>
      <c r="W3" s="96"/>
      <c r="X3" s="96"/>
      <c r="Y3" s="96"/>
      <c r="Z3" s="96"/>
      <c r="AA3" s="96"/>
      <c r="AB3" s="96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O3" s="98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</row>
    <row r="4" spans="1:52" x14ac:dyDescent="0.25">
      <c r="A4" s="181">
        <v>25500000</v>
      </c>
      <c r="B4" s="188">
        <v>21250000</v>
      </c>
      <c r="C4" s="188">
        <v>25500000</v>
      </c>
      <c r="D4" s="188">
        <v>47500000</v>
      </c>
      <c r="E4" s="188">
        <v>22750000</v>
      </c>
      <c r="F4" s="188">
        <v>37750000</v>
      </c>
      <c r="G4" s="188">
        <v>17250000</v>
      </c>
      <c r="H4" s="188">
        <v>24250000</v>
      </c>
      <c r="I4" s="188">
        <v>46750000</v>
      </c>
      <c r="J4" s="188">
        <v>28250000</v>
      </c>
      <c r="K4" s="196">
        <v>31750000</v>
      </c>
      <c r="L4" s="192"/>
      <c r="M4" s="96"/>
      <c r="N4" s="83"/>
      <c r="O4" s="191"/>
      <c r="P4" s="96"/>
      <c r="Q4" s="96"/>
      <c r="R4" s="96"/>
      <c r="S4" s="180"/>
      <c r="T4" s="96"/>
      <c r="U4" s="180"/>
      <c r="V4" s="96"/>
      <c r="W4" s="96"/>
      <c r="X4" s="96"/>
      <c r="Y4" s="96"/>
      <c r="Z4" s="96"/>
      <c r="AA4" s="96"/>
      <c r="AB4" s="96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O4" s="98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</row>
    <row r="5" spans="1:52" x14ac:dyDescent="0.25">
      <c r="A5" s="181">
        <v>23500000</v>
      </c>
      <c r="B5" s="188">
        <v>17750000</v>
      </c>
      <c r="C5" s="188">
        <v>16500000</v>
      </c>
      <c r="D5" s="188">
        <v>36250000</v>
      </c>
      <c r="E5" s="188">
        <v>28250000</v>
      </c>
      <c r="F5" s="188">
        <v>36500000</v>
      </c>
      <c r="G5" s="188">
        <v>31000000</v>
      </c>
      <c r="H5" s="188">
        <v>42000000</v>
      </c>
      <c r="I5" s="188">
        <v>37750000</v>
      </c>
      <c r="J5" s="188">
        <v>10750000</v>
      </c>
      <c r="K5" s="196">
        <v>13750000</v>
      </c>
      <c r="L5" s="180"/>
      <c r="M5" s="96"/>
      <c r="N5" s="83"/>
      <c r="O5" s="83"/>
      <c r="P5" s="96"/>
      <c r="Q5" s="96"/>
      <c r="R5" s="96"/>
      <c r="S5" s="180"/>
      <c r="T5" s="96"/>
      <c r="U5" s="180"/>
      <c r="V5" s="96"/>
      <c r="W5" s="96"/>
      <c r="X5" s="96"/>
      <c r="Y5" s="96"/>
      <c r="Z5" s="96"/>
      <c r="AA5" s="96"/>
      <c r="AB5" s="96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O5" s="98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</row>
    <row r="6" spans="1:52" x14ac:dyDescent="0.25">
      <c r="A6" s="181">
        <v>21750000</v>
      </c>
      <c r="B6" s="188">
        <v>29750000</v>
      </c>
      <c r="C6" s="188">
        <v>8500000</v>
      </c>
      <c r="D6" s="188">
        <v>17000000</v>
      </c>
      <c r="E6" s="188">
        <v>32250000</v>
      </c>
      <c r="F6" s="188">
        <v>22750000</v>
      </c>
      <c r="G6" s="188">
        <v>37750000</v>
      </c>
      <c r="H6" s="188">
        <v>34250000</v>
      </c>
      <c r="I6" s="188">
        <v>21250000</v>
      </c>
      <c r="J6" s="188">
        <v>42000000</v>
      </c>
      <c r="K6" s="196">
        <v>18000000</v>
      </c>
      <c r="L6" s="180"/>
      <c r="M6" s="96"/>
      <c r="N6" s="96"/>
      <c r="O6" s="96"/>
      <c r="P6" s="96"/>
      <c r="Q6" s="96"/>
      <c r="R6" s="96"/>
      <c r="S6" s="180"/>
      <c r="T6" s="96"/>
      <c r="U6" s="192"/>
      <c r="V6" s="96"/>
      <c r="W6" s="96"/>
      <c r="X6" s="96"/>
      <c r="Y6" s="96"/>
      <c r="Z6" s="96"/>
      <c r="AA6" s="96"/>
      <c r="AB6" s="96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O6" s="98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</row>
    <row r="7" spans="1:52" x14ac:dyDescent="0.25">
      <c r="A7" s="181">
        <v>22500000</v>
      </c>
      <c r="B7" s="188">
        <v>25500000</v>
      </c>
      <c r="C7" s="188">
        <v>12000000</v>
      </c>
      <c r="D7" s="188">
        <v>55500000</v>
      </c>
      <c r="E7" s="188">
        <v>19500000</v>
      </c>
      <c r="F7" s="188">
        <v>27000000</v>
      </c>
      <c r="G7" s="188">
        <v>26500000</v>
      </c>
      <c r="H7" s="188">
        <v>27250000</v>
      </c>
      <c r="I7" s="188">
        <v>9250000</v>
      </c>
      <c r="J7" s="188">
        <v>36250000</v>
      </c>
      <c r="K7" s="196">
        <v>18250000</v>
      </c>
      <c r="L7" s="192"/>
      <c r="M7" s="96"/>
      <c r="N7" s="96"/>
      <c r="O7" s="96"/>
      <c r="P7" s="96"/>
      <c r="Q7" s="96"/>
      <c r="R7" s="96"/>
      <c r="S7" s="180"/>
      <c r="T7" s="96"/>
      <c r="U7" s="192"/>
      <c r="V7" s="96"/>
      <c r="W7" s="96"/>
      <c r="X7" s="96"/>
      <c r="Y7" s="96"/>
      <c r="Z7" s="96"/>
      <c r="AA7" s="96"/>
      <c r="AB7" s="96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O7" s="98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</row>
    <row r="8" spans="1:52" x14ac:dyDescent="0.25">
      <c r="A8" s="181">
        <v>26750000</v>
      </c>
      <c r="B8" s="188">
        <v>25500000</v>
      </c>
      <c r="C8" s="188">
        <v>21500000</v>
      </c>
      <c r="D8" s="188">
        <v>52500000</v>
      </c>
      <c r="E8" s="188">
        <v>29750000</v>
      </c>
      <c r="F8" s="188">
        <v>17000000</v>
      </c>
      <c r="G8" s="188">
        <v>19000000</v>
      </c>
      <c r="H8" s="188">
        <v>24000000</v>
      </c>
      <c r="I8" s="188">
        <v>19250000</v>
      </c>
      <c r="J8" s="188">
        <v>27500000</v>
      </c>
      <c r="K8" s="196">
        <v>22750000</v>
      </c>
      <c r="L8" s="192"/>
      <c r="M8" s="96"/>
      <c r="N8" s="96"/>
      <c r="O8" s="96"/>
      <c r="P8" s="96"/>
      <c r="Q8" s="96"/>
      <c r="R8" s="96"/>
      <c r="S8" s="180"/>
      <c r="T8" s="96"/>
      <c r="U8" s="180"/>
      <c r="V8" s="96"/>
      <c r="W8" s="96"/>
      <c r="X8" s="96"/>
      <c r="Y8" s="96"/>
      <c r="Z8" s="96"/>
      <c r="AA8" s="96"/>
      <c r="AB8" s="96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O8" s="98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</row>
    <row r="9" spans="1:52" x14ac:dyDescent="0.25">
      <c r="A9" s="181">
        <v>18000000</v>
      </c>
      <c r="B9" s="188">
        <v>11750000</v>
      </c>
      <c r="C9" s="188">
        <v>9250000</v>
      </c>
      <c r="D9" s="188">
        <v>22000000</v>
      </c>
      <c r="E9" s="188">
        <v>28000000</v>
      </c>
      <c r="F9" s="188">
        <v>35000000</v>
      </c>
      <c r="G9" s="188">
        <v>29250000</v>
      </c>
      <c r="H9" s="190">
        <v>13250000</v>
      </c>
      <c r="I9" s="188">
        <v>14000000</v>
      </c>
      <c r="J9" s="188">
        <v>32250000</v>
      </c>
      <c r="K9" s="184">
        <v>5750000</v>
      </c>
      <c r="L9" s="192"/>
      <c r="M9" s="96"/>
      <c r="N9" s="83"/>
      <c r="O9" s="190"/>
      <c r="P9" s="96"/>
      <c r="Q9" s="96"/>
      <c r="R9" s="96"/>
      <c r="S9" s="180"/>
      <c r="T9" s="96"/>
      <c r="U9" s="180"/>
      <c r="V9" s="96"/>
      <c r="W9" s="96"/>
      <c r="X9" s="96"/>
      <c r="Y9" s="96"/>
      <c r="Z9" s="96"/>
      <c r="AA9" s="96"/>
      <c r="AB9" s="96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O9" s="98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</row>
    <row r="10" spans="1:52" x14ac:dyDescent="0.25">
      <c r="A10" s="183">
        <v>10750000</v>
      </c>
      <c r="B10" s="188">
        <v>21750000</v>
      </c>
      <c r="C10" s="188">
        <v>29000000</v>
      </c>
      <c r="D10" s="188">
        <v>37250000</v>
      </c>
      <c r="E10" s="188">
        <v>39500000</v>
      </c>
      <c r="F10" s="188">
        <v>32750000</v>
      </c>
      <c r="G10" s="188">
        <v>24250000</v>
      </c>
      <c r="H10" s="190">
        <v>23250000</v>
      </c>
      <c r="I10" s="188">
        <v>23000000</v>
      </c>
      <c r="J10" s="188">
        <v>17500000</v>
      </c>
      <c r="K10" s="184">
        <v>7750000</v>
      </c>
      <c r="L10" s="180"/>
      <c r="M10" s="96"/>
      <c r="N10" s="83"/>
      <c r="O10" s="165"/>
      <c r="P10" s="96"/>
      <c r="Q10" s="96"/>
      <c r="R10" s="96"/>
      <c r="S10" s="192"/>
      <c r="T10" s="96"/>
      <c r="U10" s="192"/>
      <c r="V10" s="96"/>
      <c r="W10" s="96"/>
      <c r="X10" s="96"/>
      <c r="Y10" s="96"/>
      <c r="Z10" s="96"/>
      <c r="AA10" s="96"/>
      <c r="AB10" s="96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O10" s="98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</row>
    <row r="11" spans="1:52" x14ac:dyDescent="0.25">
      <c r="A11" s="181">
        <v>7750000</v>
      </c>
      <c r="B11" s="188">
        <v>24000000</v>
      </c>
      <c r="C11" s="188">
        <v>17500000</v>
      </c>
      <c r="D11" s="188">
        <v>48750000</v>
      </c>
      <c r="E11" s="188">
        <v>23500000</v>
      </c>
      <c r="F11" s="188">
        <v>22500000</v>
      </c>
      <c r="G11" s="188">
        <v>23750000</v>
      </c>
      <c r="H11" s="190">
        <v>8000000</v>
      </c>
      <c r="I11" s="190">
        <v>14000000</v>
      </c>
      <c r="J11" s="190">
        <v>9250000</v>
      </c>
      <c r="K11" s="184">
        <v>25000000</v>
      </c>
      <c r="L11" s="180"/>
      <c r="M11" s="96"/>
      <c r="N11" s="96"/>
      <c r="O11" s="96"/>
      <c r="P11" s="96"/>
      <c r="Q11" s="96"/>
      <c r="R11" s="96"/>
      <c r="S11" s="180"/>
      <c r="T11" s="96"/>
      <c r="U11" s="180"/>
      <c r="V11" s="96"/>
      <c r="W11" s="96"/>
      <c r="X11" s="96"/>
      <c r="Y11" s="96"/>
      <c r="Z11" s="96"/>
      <c r="AA11" s="96"/>
      <c r="AB11" s="96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O11" s="98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</row>
    <row r="12" spans="1:52" x14ac:dyDescent="0.25">
      <c r="A12" s="181">
        <v>14000000</v>
      </c>
      <c r="B12" s="188">
        <v>28750000</v>
      </c>
      <c r="C12" s="190">
        <v>9500000</v>
      </c>
      <c r="D12" s="188">
        <v>25750000</v>
      </c>
      <c r="E12" s="190">
        <v>35750000</v>
      </c>
      <c r="F12" s="188">
        <v>28750000</v>
      </c>
      <c r="G12" s="188">
        <v>26750000</v>
      </c>
      <c r="H12" s="190">
        <v>20750000</v>
      </c>
      <c r="I12" s="190">
        <v>11750000</v>
      </c>
      <c r="J12" s="190">
        <v>11500000</v>
      </c>
      <c r="K12" s="184">
        <v>5500000</v>
      </c>
      <c r="L12" s="180"/>
      <c r="M12" s="96"/>
      <c r="N12" s="96"/>
      <c r="O12" s="96"/>
      <c r="P12" s="96"/>
      <c r="Q12" s="96"/>
      <c r="R12" s="96"/>
      <c r="S12" s="180"/>
      <c r="T12" s="96"/>
      <c r="U12" s="180"/>
      <c r="V12" s="96"/>
      <c r="W12" s="96"/>
      <c r="X12" s="96"/>
      <c r="Y12" s="96"/>
      <c r="Z12" s="96"/>
      <c r="AA12" s="96"/>
      <c r="AB12" s="96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O12" s="98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</row>
    <row r="13" spans="1:52" x14ac:dyDescent="0.25">
      <c r="A13" s="181">
        <v>20000000</v>
      </c>
      <c r="B13" s="188">
        <v>22750000</v>
      </c>
      <c r="C13" s="190">
        <v>14000000</v>
      </c>
      <c r="D13" s="188">
        <v>40750000</v>
      </c>
      <c r="E13" s="190">
        <v>49500000</v>
      </c>
      <c r="F13" s="188">
        <v>4500000</v>
      </c>
      <c r="G13" s="188">
        <v>16250000</v>
      </c>
      <c r="H13" s="190">
        <v>2500000</v>
      </c>
      <c r="I13" s="190">
        <v>13250000</v>
      </c>
      <c r="J13" s="190">
        <v>27250000</v>
      </c>
      <c r="K13" s="184">
        <v>8250000</v>
      </c>
      <c r="L13" s="192"/>
      <c r="M13" s="96"/>
      <c r="N13" s="113"/>
      <c r="O13" s="113"/>
      <c r="P13" s="96"/>
      <c r="Q13" s="96"/>
      <c r="R13" s="96"/>
      <c r="S13" s="192"/>
      <c r="T13" s="96"/>
      <c r="U13" s="180"/>
      <c r="V13" s="96"/>
      <c r="W13" s="96"/>
      <c r="X13" s="96"/>
      <c r="Y13" s="96"/>
      <c r="Z13" s="96"/>
      <c r="AA13" s="96"/>
      <c r="AB13" s="96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O13" s="98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</row>
    <row r="14" spans="1:52" x14ac:dyDescent="0.25">
      <c r="A14" s="181">
        <v>8250000</v>
      </c>
      <c r="B14" s="188">
        <v>12750000</v>
      </c>
      <c r="C14" s="190">
        <v>21000000</v>
      </c>
      <c r="D14" s="188">
        <v>38750000</v>
      </c>
      <c r="E14" s="190">
        <v>22500000</v>
      </c>
      <c r="F14" s="188">
        <v>10000000</v>
      </c>
      <c r="G14" s="188">
        <v>29500000</v>
      </c>
      <c r="H14" s="190">
        <v>7750000</v>
      </c>
      <c r="I14" s="190">
        <v>22500000</v>
      </c>
      <c r="J14" s="190">
        <v>10250000</v>
      </c>
      <c r="K14" s="184">
        <v>22500000</v>
      </c>
      <c r="L14" s="182"/>
      <c r="M14" s="96"/>
      <c r="N14" s="83"/>
      <c r="O14" s="191"/>
      <c r="P14" s="96"/>
      <c r="Q14" s="96"/>
      <c r="R14" s="96"/>
      <c r="S14" s="180"/>
      <c r="T14" s="96"/>
      <c r="U14" s="192"/>
      <c r="V14" s="96"/>
      <c r="W14" s="96"/>
      <c r="X14" s="96"/>
      <c r="Y14" s="96"/>
      <c r="Z14" s="96"/>
      <c r="AA14" s="96"/>
      <c r="AB14" s="96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O14" s="98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</row>
    <row r="15" spans="1:52" x14ac:dyDescent="0.25">
      <c r="A15" s="181">
        <v>14250000</v>
      </c>
      <c r="B15" s="188">
        <v>5500000</v>
      </c>
      <c r="C15" s="190">
        <v>16000000</v>
      </c>
      <c r="D15" s="188">
        <v>17250000</v>
      </c>
      <c r="E15" s="190">
        <v>12000000</v>
      </c>
      <c r="F15" s="188">
        <v>11750000</v>
      </c>
      <c r="G15" s="188">
        <v>14500000</v>
      </c>
      <c r="H15" s="190">
        <v>5250000</v>
      </c>
      <c r="I15" s="190">
        <v>750000</v>
      </c>
      <c r="J15" s="190">
        <v>3000000</v>
      </c>
      <c r="K15" s="184">
        <v>29250000</v>
      </c>
      <c r="L15" s="182"/>
      <c r="M15" s="96"/>
      <c r="N15" s="83"/>
      <c r="O15" s="83"/>
      <c r="P15" s="96"/>
      <c r="Q15" s="96"/>
      <c r="R15" s="96"/>
      <c r="S15" s="192"/>
      <c r="T15" s="96"/>
      <c r="U15" s="192"/>
      <c r="V15" s="96"/>
      <c r="W15" s="96"/>
      <c r="X15" s="96"/>
      <c r="Y15" s="96"/>
      <c r="Z15" s="96"/>
      <c r="AA15" s="96"/>
      <c r="AB15" s="96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O15" s="98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</row>
    <row r="16" spans="1:52" x14ac:dyDescent="0.25">
      <c r="A16" s="181">
        <v>19000000</v>
      </c>
      <c r="B16" s="188">
        <v>17000000</v>
      </c>
      <c r="C16" s="190">
        <v>15500000</v>
      </c>
      <c r="D16" s="188">
        <v>19500000</v>
      </c>
      <c r="E16" s="190">
        <v>26750000</v>
      </c>
      <c r="F16" s="188">
        <v>9750000</v>
      </c>
      <c r="G16" s="188">
        <v>17000000</v>
      </c>
      <c r="H16" s="190">
        <v>7000000</v>
      </c>
      <c r="I16" s="190">
        <v>5500000</v>
      </c>
      <c r="J16" s="190">
        <v>18750000</v>
      </c>
      <c r="K16" s="184">
        <v>16750000</v>
      </c>
      <c r="L16" s="182"/>
      <c r="M16" s="96"/>
      <c r="N16" s="96"/>
      <c r="O16" s="96"/>
      <c r="P16" s="96"/>
      <c r="Q16" s="96"/>
      <c r="R16" s="96"/>
      <c r="S16" s="180"/>
      <c r="T16" s="96"/>
      <c r="U16" s="180"/>
      <c r="V16" s="96"/>
      <c r="W16" s="96"/>
      <c r="X16" s="96"/>
      <c r="Y16" s="96"/>
      <c r="Z16" s="96"/>
      <c r="AA16" s="96"/>
      <c r="AB16" s="96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O16" s="98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</row>
    <row r="17" spans="1:52" x14ac:dyDescent="0.25">
      <c r="A17" s="181">
        <v>21750000</v>
      </c>
      <c r="B17" s="190">
        <v>4000000</v>
      </c>
      <c r="C17" s="190">
        <v>7750000</v>
      </c>
      <c r="D17" s="188">
        <v>48250000</v>
      </c>
      <c r="E17" s="190">
        <v>15750000</v>
      </c>
      <c r="F17" s="188">
        <v>8750000</v>
      </c>
      <c r="G17" s="190">
        <v>15250000</v>
      </c>
      <c r="H17" s="190">
        <v>12000000</v>
      </c>
      <c r="I17" s="190">
        <v>15250000</v>
      </c>
      <c r="J17" s="190">
        <v>17000000</v>
      </c>
      <c r="K17" s="184">
        <v>5250000</v>
      </c>
      <c r="L17" s="182"/>
      <c r="M17" s="96"/>
      <c r="N17" s="96"/>
      <c r="O17" s="96"/>
      <c r="P17" s="96"/>
      <c r="Q17" s="96"/>
      <c r="R17" s="96"/>
      <c r="S17" s="180"/>
      <c r="T17" s="96"/>
      <c r="U17" s="180"/>
      <c r="V17" s="96"/>
      <c r="W17" s="96"/>
      <c r="X17" s="96"/>
      <c r="Y17" s="96"/>
      <c r="Z17" s="96"/>
      <c r="AA17" s="96"/>
      <c r="AB17" s="96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O17" s="98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</row>
    <row r="18" spans="1:52" x14ac:dyDescent="0.25">
      <c r="A18" s="181">
        <v>21000000</v>
      </c>
      <c r="B18" s="190">
        <v>16750000</v>
      </c>
      <c r="C18" s="190">
        <v>20250000</v>
      </c>
      <c r="D18" s="188">
        <v>52250000</v>
      </c>
      <c r="E18" s="190">
        <v>28000000</v>
      </c>
      <c r="F18" s="188">
        <v>9250000</v>
      </c>
      <c r="G18" s="190">
        <v>10500000</v>
      </c>
      <c r="H18" s="190">
        <v>17750000</v>
      </c>
      <c r="I18" s="190">
        <v>17000000</v>
      </c>
      <c r="J18" s="190">
        <v>7500000</v>
      </c>
      <c r="K18" s="184">
        <v>4500000</v>
      </c>
      <c r="L18" s="182"/>
      <c r="M18" s="96"/>
      <c r="N18" s="96"/>
      <c r="O18" s="96"/>
      <c r="P18" s="96"/>
      <c r="Q18" s="96"/>
      <c r="R18" s="96"/>
      <c r="S18" s="180"/>
      <c r="T18" s="96"/>
      <c r="U18" s="180"/>
      <c r="V18" s="96"/>
      <c r="W18" s="96"/>
      <c r="X18" s="96"/>
      <c r="Y18" s="96"/>
      <c r="Z18" s="96"/>
      <c r="AA18" s="96"/>
      <c r="AB18" s="96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O18" s="98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</row>
    <row r="19" spans="1:52" x14ac:dyDescent="0.25">
      <c r="A19" s="183">
        <v>18000000</v>
      </c>
      <c r="B19" s="190">
        <v>8250000</v>
      </c>
      <c r="C19" s="190">
        <v>5750000</v>
      </c>
      <c r="D19" s="190">
        <v>45750000</v>
      </c>
      <c r="E19" s="190">
        <v>43750000</v>
      </c>
      <c r="F19" s="190">
        <v>10250000</v>
      </c>
      <c r="G19" s="190">
        <v>24500000</v>
      </c>
      <c r="H19" s="190">
        <v>14000000</v>
      </c>
      <c r="I19" s="190">
        <v>9500000</v>
      </c>
      <c r="J19" s="190">
        <v>19500000</v>
      </c>
      <c r="K19" s="184">
        <v>3750000</v>
      </c>
      <c r="L19" s="182"/>
      <c r="M19" s="96"/>
      <c r="N19" s="96"/>
      <c r="O19" s="96"/>
      <c r="P19" s="96"/>
      <c r="Q19" s="96"/>
      <c r="R19" s="96"/>
      <c r="S19" s="192"/>
      <c r="T19" s="96"/>
      <c r="U19" s="180"/>
      <c r="V19" s="96"/>
      <c r="W19" s="96"/>
      <c r="X19" s="96"/>
      <c r="Y19" s="96"/>
      <c r="Z19" s="96"/>
      <c r="AA19" s="96"/>
      <c r="AB19" s="96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O19" s="98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</row>
    <row r="20" spans="1:52" x14ac:dyDescent="0.25">
      <c r="A20" s="183">
        <v>3750000</v>
      </c>
      <c r="B20" s="190">
        <v>2250000</v>
      </c>
      <c r="C20" s="190">
        <v>8250000</v>
      </c>
      <c r="D20" s="190">
        <v>21750000</v>
      </c>
      <c r="E20" s="190">
        <v>29750000</v>
      </c>
      <c r="F20" s="190">
        <v>26750000</v>
      </c>
      <c r="G20" s="190">
        <v>12250000</v>
      </c>
      <c r="H20" s="190">
        <v>5750000</v>
      </c>
      <c r="I20" s="190">
        <v>5750000</v>
      </c>
      <c r="J20" s="190">
        <v>5250000</v>
      </c>
      <c r="K20" s="184">
        <v>3500000</v>
      </c>
      <c r="L20" s="182"/>
      <c r="M20" s="96"/>
      <c r="N20" s="96"/>
      <c r="O20" s="96"/>
      <c r="P20" s="96"/>
      <c r="Q20" s="96"/>
      <c r="R20" s="96"/>
      <c r="S20" s="192"/>
      <c r="T20" s="96"/>
      <c r="U20" s="192"/>
      <c r="V20" s="96"/>
      <c r="W20" s="96"/>
      <c r="X20" s="96"/>
      <c r="Y20" s="96"/>
      <c r="Z20" s="96"/>
      <c r="AA20" s="96"/>
      <c r="AB20" s="96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O20" s="98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</row>
    <row r="21" spans="1:52" x14ac:dyDescent="0.25">
      <c r="A21" s="183">
        <v>18250000</v>
      </c>
      <c r="B21" s="190">
        <v>6250000</v>
      </c>
      <c r="C21" s="190">
        <v>14750000</v>
      </c>
      <c r="D21" s="190">
        <v>32000000</v>
      </c>
      <c r="E21" s="190">
        <v>12750000</v>
      </c>
      <c r="F21" s="190">
        <v>13000000</v>
      </c>
      <c r="G21" s="190">
        <v>6000000</v>
      </c>
      <c r="H21" s="190">
        <v>3500000</v>
      </c>
      <c r="I21" s="190">
        <v>24250000</v>
      </c>
      <c r="J21" s="190">
        <v>6750000</v>
      </c>
      <c r="K21" s="184">
        <v>2250000</v>
      </c>
      <c r="L21" s="182"/>
      <c r="M21" s="96"/>
      <c r="N21" s="96"/>
      <c r="O21" s="96"/>
      <c r="P21" s="96"/>
      <c r="Q21" s="96"/>
      <c r="R21" s="96"/>
      <c r="S21" s="180"/>
      <c r="T21" s="96"/>
      <c r="U21" s="192"/>
      <c r="V21" s="96"/>
      <c r="W21" s="96"/>
      <c r="X21" s="96"/>
      <c r="Y21" s="96"/>
      <c r="Z21" s="96"/>
      <c r="AA21" s="96"/>
      <c r="AB21" s="96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O21" s="98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</row>
    <row r="22" spans="1:52" x14ac:dyDescent="0.25">
      <c r="A22" s="183">
        <v>1500000</v>
      </c>
      <c r="B22" s="190">
        <v>2500000</v>
      </c>
      <c r="C22" s="190">
        <v>13750000</v>
      </c>
      <c r="D22" s="190">
        <v>18750000</v>
      </c>
      <c r="E22" s="190">
        <v>55000000</v>
      </c>
      <c r="F22" s="190">
        <v>28500000</v>
      </c>
      <c r="G22" s="190">
        <v>11500000</v>
      </c>
      <c r="H22" s="190">
        <v>17000000</v>
      </c>
      <c r="I22" s="190">
        <v>14750000</v>
      </c>
      <c r="J22" s="190">
        <v>13000000</v>
      </c>
      <c r="K22" s="184">
        <v>1500000</v>
      </c>
      <c r="L22" s="182"/>
      <c r="M22" s="96"/>
      <c r="N22" s="96"/>
      <c r="O22" s="96"/>
      <c r="P22" s="96"/>
      <c r="Q22" s="96"/>
      <c r="R22" s="96"/>
      <c r="S22" s="180"/>
      <c r="T22" s="96"/>
      <c r="U22" s="180"/>
      <c r="V22" s="96"/>
      <c r="W22" s="96"/>
      <c r="X22" s="96"/>
      <c r="Y22" s="96"/>
      <c r="Z22" s="96"/>
      <c r="AA22" s="96"/>
      <c r="AB22" s="96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O22" s="98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</row>
    <row r="23" spans="1:52" x14ac:dyDescent="0.25">
      <c r="A23" s="197">
        <v>7750000</v>
      </c>
      <c r="B23" s="186">
        <v>1750000</v>
      </c>
      <c r="C23" s="186">
        <v>3500000</v>
      </c>
      <c r="D23" s="186">
        <v>44000000</v>
      </c>
      <c r="E23" s="198">
        <v>29750000</v>
      </c>
      <c r="F23" s="186">
        <v>17250000</v>
      </c>
      <c r="G23" s="186">
        <v>6750000</v>
      </c>
      <c r="H23" s="186">
        <v>14500000</v>
      </c>
      <c r="I23" s="186">
        <v>11250000</v>
      </c>
      <c r="J23" s="186">
        <v>9500000</v>
      </c>
      <c r="K23" s="187">
        <v>4750000</v>
      </c>
      <c r="L23" s="182"/>
      <c r="M23" s="96"/>
      <c r="N23" s="96"/>
      <c r="O23" s="96"/>
      <c r="P23" s="96"/>
      <c r="Q23" s="96"/>
      <c r="R23" s="96"/>
      <c r="S23" s="180"/>
      <c r="T23" s="96"/>
      <c r="U23" s="180"/>
      <c r="V23" s="96"/>
      <c r="W23" s="96"/>
      <c r="X23" s="96"/>
      <c r="Y23" s="96"/>
      <c r="Z23" s="96"/>
      <c r="AA23" s="96"/>
      <c r="AB23" s="96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48"/>
      <c r="AO23" s="98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</row>
    <row r="24" spans="1:52" x14ac:dyDescent="0.25">
      <c r="A24" s="188"/>
      <c r="B24" s="188"/>
      <c r="C24" s="96"/>
      <c r="D24" s="188"/>
      <c r="E24" s="96"/>
      <c r="F24" s="96"/>
      <c r="G24" s="96"/>
      <c r="H24" s="189"/>
      <c r="I24" s="189"/>
      <c r="J24" s="189"/>
      <c r="K24" s="189"/>
      <c r="L24" s="182"/>
      <c r="M24" s="96"/>
      <c r="N24" s="96"/>
      <c r="O24" s="96"/>
      <c r="P24" s="96"/>
      <c r="Q24" s="96"/>
      <c r="R24" s="96"/>
      <c r="S24" s="192"/>
      <c r="T24" s="96"/>
      <c r="U24" s="180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178"/>
      <c r="AK24" s="178"/>
      <c r="AL24" s="178"/>
      <c r="AM24" s="178"/>
      <c r="AN24" s="49"/>
      <c r="AO24" s="98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</row>
    <row r="25" spans="1:52" x14ac:dyDescent="0.25">
      <c r="A25" s="96"/>
      <c r="B25" s="96"/>
      <c r="C25" s="188"/>
      <c r="D25" s="188"/>
      <c r="E25" s="189"/>
      <c r="F25" s="96"/>
      <c r="G25" s="188"/>
      <c r="H25" s="189"/>
      <c r="I25" s="189"/>
      <c r="J25" s="189"/>
      <c r="K25" s="189"/>
      <c r="L25" s="182"/>
      <c r="M25" s="96"/>
      <c r="N25" s="96"/>
      <c r="O25" s="134"/>
      <c r="P25" s="96"/>
      <c r="Q25" s="96"/>
      <c r="R25" s="96"/>
      <c r="S25" s="192"/>
      <c r="T25" s="96"/>
      <c r="U25" s="180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178"/>
      <c r="AK25" s="178"/>
      <c r="AL25" s="178"/>
      <c r="AM25" s="178"/>
      <c r="AN25" s="49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</row>
    <row r="26" spans="1:52" x14ac:dyDescent="0.25">
      <c r="A26" s="96"/>
      <c r="B26" s="190"/>
      <c r="C26" s="190"/>
      <c r="D26" s="96"/>
      <c r="E26" s="96"/>
      <c r="F26" s="96"/>
      <c r="G26" s="96"/>
      <c r="H26" s="190"/>
      <c r="I26" s="190"/>
      <c r="J26" s="190"/>
      <c r="K26" s="96"/>
      <c r="L26" s="180"/>
      <c r="M26" s="96"/>
      <c r="N26" s="83"/>
      <c r="O26" s="191"/>
      <c r="P26" s="96"/>
      <c r="Q26" s="96"/>
      <c r="R26" s="96"/>
      <c r="S26" s="180"/>
      <c r="T26" s="96"/>
      <c r="U26" s="180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179"/>
      <c r="AK26" s="179"/>
      <c r="AL26" s="179"/>
      <c r="AM26" s="179"/>
      <c r="AN26" s="49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</row>
    <row r="27" spans="1:52" x14ac:dyDescent="0.25">
      <c r="A27" s="190"/>
      <c r="B27" s="96"/>
      <c r="C27" s="96"/>
      <c r="D27" s="96"/>
      <c r="E27" s="96"/>
      <c r="F27" s="190"/>
      <c r="G27" s="96"/>
      <c r="H27" s="96"/>
      <c r="I27" s="96"/>
      <c r="J27" s="96"/>
      <c r="K27" s="96"/>
      <c r="L27" s="180"/>
      <c r="M27" s="96"/>
      <c r="N27" s="83"/>
      <c r="O27" s="83"/>
      <c r="P27" s="96"/>
      <c r="Q27" s="96"/>
      <c r="R27" s="96"/>
      <c r="S27" s="180"/>
      <c r="T27" s="96"/>
      <c r="U27" s="192"/>
      <c r="V27" s="96"/>
      <c r="W27" s="96"/>
      <c r="X27" s="96"/>
      <c r="Y27" s="96"/>
      <c r="Z27" s="96"/>
      <c r="AJ27" s="49"/>
      <c r="AK27" s="49"/>
      <c r="AL27" s="49"/>
      <c r="AM27" s="49"/>
      <c r="AN27" s="49"/>
      <c r="AO27" s="98"/>
      <c r="AP27" s="99"/>
      <c r="AQ27" s="96"/>
      <c r="AR27" s="111"/>
      <c r="AS27" s="111"/>
      <c r="AT27" s="111"/>
      <c r="AU27" s="111"/>
      <c r="AV27" s="111"/>
      <c r="AW27" s="111"/>
      <c r="AX27" s="111"/>
      <c r="AY27" s="111"/>
      <c r="AZ27" s="111"/>
    </row>
    <row r="28" spans="1:52" x14ac:dyDescent="0.25">
      <c r="A28" s="190"/>
      <c r="B28" s="190"/>
      <c r="C28" s="190"/>
      <c r="D28" s="96"/>
      <c r="E28" s="96"/>
      <c r="F28" s="190"/>
      <c r="G28" s="96"/>
      <c r="H28" s="96"/>
      <c r="I28" s="96"/>
      <c r="J28" s="96"/>
      <c r="K28" s="190"/>
      <c r="L28" s="192"/>
      <c r="M28" s="96"/>
      <c r="N28" s="96"/>
      <c r="O28" s="96"/>
      <c r="P28" s="96"/>
      <c r="Q28" s="96"/>
      <c r="R28" s="96"/>
      <c r="S28" s="180"/>
      <c r="T28" s="96"/>
      <c r="U28" s="192"/>
      <c r="V28" s="96"/>
      <c r="W28" s="96"/>
      <c r="X28" s="96"/>
      <c r="Y28" s="96"/>
      <c r="Z28" s="96"/>
      <c r="AJ28" s="50"/>
      <c r="AK28" s="49"/>
      <c r="AL28" s="49"/>
      <c r="AM28" s="49"/>
      <c r="AN28" s="49"/>
      <c r="AO28" s="98"/>
      <c r="AP28" s="99"/>
      <c r="AQ28" s="96"/>
      <c r="AR28" s="111"/>
      <c r="AS28" s="111"/>
      <c r="AT28" s="111"/>
      <c r="AU28" s="111"/>
      <c r="AV28" s="111"/>
      <c r="AW28" s="111"/>
      <c r="AX28" s="111"/>
      <c r="AY28" s="111"/>
      <c r="AZ28" s="111"/>
    </row>
    <row r="29" spans="1:52" x14ac:dyDescent="0.25">
      <c r="A29" s="96"/>
      <c r="B29" s="190"/>
      <c r="C29" s="190"/>
      <c r="D29" s="96"/>
      <c r="E29" s="190"/>
      <c r="F29" s="190"/>
      <c r="G29" s="96"/>
      <c r="H29" s="96"/>
      <c r="I29" s="96"/>
      <c r="J29" s="190"/>
      <c r="K29" s="96"/>
      <c r="L29" s="180"/>
      <c r="M29" s="96"/>
      <c r="N29" s="96"/>
      <c r="O29" s="96"/>
      <c r="P29" s="96"/>
      <c r="Q29" s="96"/>
      <c r="R29" s="96"/>
      <c r="S29" s="180"/>
      <c r="T29" s="96"/>
      <c r="U29" s="192"/>
      <c r="V29" s="96"/>
      <c r="W29" s="96"/>
      <c r="X29" s="96"/>
      <c r="Y29" s="96"/>
      <c r="Z29" s="96"/>
      <c r="AJ29" s="49"/>
      <c r="AK29" s="49"/>
      <c r="AL29" s="49"/>
      <c r="AM29" s="49"/>
      <c r="AN29" s="49"/>
      <c r="AO29" s="98"/>
      <c r="AP29" s="99"/>
      <c r="AQ29" s="96"/>
      <c r="AR29" s="111"/>
      <c r="AS29" s="111"/>
      <c r="AT29" s="111"/>
      <c r="AU29" s="111"/>
      <c r="AV29" s="111"/>
      <c r="AW29" s="111"/>
      <c r="AX29" s="111"/>
      <c r="AY29" s="111"/>
      <c r="AZ29" s="111"/>
    </row>
    <row r="30" spans="1:52" x14ac:dyDescent="0.25">
      <c r="A30" s="96"/>
      <c r="B30" s="96"/>
      <c r="C30" s="96"/>
      <c r="D30" s="190"/>
      <c r="E30" s="190"/>
      <c r="F30" s="96"/>
      <c r="G30" s="96"/>
      <c r="H30" s="96"/>
      <c r="I30" s="96"/>
      <c r="J30" s="190"/>
      <c r="K30" s="96"/>
      <c r="L30" s="180"/>
      <c r="M30" s="96"/>
      <c r="N30" s="96"/>
      <c r="O30" s="96"/>
      <c r="P30" s="96"/>
      <c r="Q30" s="96"/>
      <c r="R30" s="96"/>
      <c r="S30" s="192"/>
      <c r="T30" s="96"/>
      <c r="U30" s="180"/>
      <c r="V30" s="96"/>
      <c r="W30" s="96"/>
      <c r="X30" s="96"/>
      <c r="Y30" s="96"/>
      <c r="Z30" s="96"/>
      <c r="AJ30" s="49"/>
      <c r="AK30" s="49"/>
      <c r="AL30" s="49"/>
      <c r="AM30" s="49"/>
      <c r="AN30" s="49"/>
      <c r="AO30" s="98"/>
      <c r="AP30" s="99"/>
      <c r="AQ30" s="96"/>
      <c r="AR30" s="111"/>
      <c r="AS30" s="111"/>
      <c r="AT30" s="111"/>
      <c r="AU30" s="111"/>
      <c r="AV30" s="111"/>
      <c r="AW30" s="111"/>
      <c r="AX30" s="111"/>
      <c r="AY30" s="111"/>
      <c r="AZ30" s="111"/>
    </row>
    <row r="31" spans="1:52" x14ac:dyDescent="0.25">
      <c r="A31" s="190"/>
      <c r="B31" s="96"/>
      <c r="C31" s="96"/>
      <c r="D31" s="190"/>
      <c r="E31" s="190"/>
      <c r="F31" s="96"/>
      <c r="G31" s="96"/>
      <c r="H31" s="96"/>
      <c r="I31" s="96"/>
      <c r="J31" s="96"/>
      <c r="K31" s="96"/>
      <c r="L31" s="180"/>
      <c r="M31" s="96"/>
      <c r="N31" s="96"/>
      <c r="O31" s="96"/>
      <c r="P31" s="96"/>
      <c r="Q31" s="96"/>
      <c r="R31" s="96"/>
      <c r="S31" s="192"/>
      <c r="T31" s="96"/>
      <c r="U31" s="180"/>
      <c r="V31" s="96"/>
      <c r="W31" s="96"/>
      <c r="X31" s="96"/>
      <c r="Y31" s="96"/>
      <c r="Z31" s="96"/>
      <c r="AJ31" s="49"/>
      <c r="AK31" s="49"/>
      <c r="AL31" s="49"/>
      <c r="AM31" s="49"/>
      <c r="AN31" s="49"/>
      <c r="AO31" s="98"/>
      <c r="AP31" s="99"/>
      <c r="AQ31" s="96"/>
      <c r="AR31" s="111"/>
      <c r="AS31" s="111"/>
      <c r="AT31" s="111"/>
      <c r="AU31" s="111"/>
      <c r="AV31" s="111"/>
      <c r="AW31" s="111"/>
      <c r="AX31" s="111"/>
      <c r="AY31" s="111"/>
      <c r="AZ31" s="111"/>
    </row>
    <row r="32" spans="1:52" x14ac:dyDescent="0.25">
      <c r="A32" s="96"/>
      <c r="B32" s="190"/>
      <c r="C32" s="190"/>
      <c r="D32" s="96"/>
      <c r="E32" s="96"/>
      <c r="F32" s="96"/>
      <c r="G32" s="190"/>
      <c r="H32" s="96"/>
      <c r="I32" s="96"/>
      <c r="J32" s="190"/>
      <c r="K32" s="96"/>
      <c r="L32" s="180"/>
      <c r="M32" s="96"/>
      <c r="N32" s="96"/>
      <c r="O32" s="96"/>
      <c r="P32" s="96"/>
      <c r="Q32" s="96"/>
      <c r="R32" s="96"/>
      <c r="S32" s="180"/>
      <c r="T32" s="96"/>
      <c r="U32" s="180"/>
      <c r="V32" s="96"/>
      <c r="W32" s="96"/>
      <c r="X32" s="96"/>
      <c r="Y32" s="96"/>
      <c r="Z32" s="96"/>
      <c r="AJ32" s="49"/>
      <c r="AK32" s="49"/>
      <c r="AL32" s="49"/>
      <c r="AM32" s="49"/>
      <c r="AN32" s="49"/>
      <c r="AO32" s="98"/>
      <c r="AP32" s="99"/>
      <c r="AQ32" s="96"/>
      <c r="AR32" s="111"/>
      <c r="AS32" s="111"/>
      <c r="AT32" s="111"/>
      <c r="AU32" s="111"/>
      <c r="AV32" s="111"/>
      <c r="AW32" s="111"/>
      <c r="AX32" s="111"/>
      <c r="AY32" s="111"/>
      <c r="AZ32" s="111"/>
    </row>
    <row r="33" spans="1:52" x14ac:dyDescent="0.25">
      <c r="A33" s="190"/>
      <c r="B33" s="96"/>
      <c r="C33" s="190"/>
      <c r="D33" s="190"/>
      <c r="E33" s="190"/>
      <c r="F33" s="96"/>
      <c r="G33" s="96"/>
      <c r="H33" s="96"/>
      <c r="I33" s="190"/>
      <c r="J33" s="96"/>
      <c r="K33" s="190"/>
      <c r="L33" s="192"/>
      <c r="M33" s="96"/>
      <c r="N33" s="96"/>
      <c r="O33" s="96"/>
      <c r="P33" s="96"/>
      <c r="Q33" s="96"/>
      <c r="R33" s="96"/>
      <c r="S33" s="192"/>
      <c r="T33" s="96"/>
      <c r="U33" s="180"/>
      <c r="V33" s="96"/>
      <c r="W33" s="96"/>
      <c r="X33" s="96"/>
      <c r="Y33" s="96"/>
      <c r="Z33" s="96"/>
      <c r="AJ33" s="49"/>
      <c r="AK33" s="49"/>
      <c r="AL33" s="49"/>
      <c r="AM33" s="49"/>
      <c r="AN33" s="49"/>
      <c r="AO33" s="98"/>
      <c r="AP33" s="99"/>
      <c r="AQ33" s="96"/>
      <c r="AR33" s="111"/>
      <c r="AS33" s="111"/>
      <c r="AT33" s="111"/>
      <c r="AU33" s="111"/>
      <c r="AV33" s="111"/>
      <c r="AW33" s="111"/>
      <c r="AX33" s="111"/>
      <c r="AY33" s="111"/>
      <c r="AZ33" s="111"/>
    </row>
    <row r="34" spans="1:52" x14ac:dyDescent="0.25">
      <c r="A34" s="190"/>
      <c r="B34" s="190"/>
      <c r="C34" s="96"/>
      <c r="D34" s="180"/>
      <c r="E34" s="96"/>
      <c r="F34" s="180"/>
      <c r="G34" s="96"/>
      <c r="H34" s="190"/>
      <c r="I34" s="190"/>
      <c r="J34" s="96"/>
      <c r="K34" s="96"/>
      <c r="L34" s="180"/>
      <c r="M34" s="96"/>
      <c r="N34" s="96"/>
      <c r="O34" s="96"/>
      <c r="P34" s="193"/>
      <c r="Q34" s="96"/>
      <c r="R34" s="96"/>
      <c r="S34" s="182"/>
      <c r="T34" s="96"/>
      <c r="U34" s="182"/>
      <c r="V34" s="182"/>
      <c r="W34" s="96"/>
      <c r="X34" s="96"/>
      <c r="Y34" s="96"/>
      <c r="Z34" s="96"/>
      <c r="AJ34" s="49"/>
      <c r="AK34" s="49"/>
      <c r="AL34" s="49"/>
      <c r="AM34" s="49"/>
      <c r="AN34" s="49"/>
      <c r="AO34" s="98"/>
      <c r="AP34" s="99"/>
      <c r="AQ34" s="96"/>
      <c r="AR34" s="111"/>
      <c r="AS34" s="111"/>
      <c r="AT34" s="111"/>
      <c r="AU34" s="111"/>
      <c r="AV34" s="111"/>
      <c r="AW34" s="111"/>
      <c r="AX34" s="111"/>
      <c r="AY34" s="111"/>
      <c r="AZ34" s="111"/>
    </row>
    <row r="35" spans="1:52" x14ac:dyDescent="0.25">
      <c r="A35" s="190"/>
      <c r="B35" s="190"/>
      <c r="C35" s="96"/>
      <c r="D35" s="180"/>
      <c r="E35" s="190"/>
      <c r="F35" s="192"/>
      <c r="G35" s="96"/>
      <c r="H35" s="96"/>
      <c r="I35" s="190"/>
      <c r="J35" s="190"/>
      <c r="K35" s="96"/>
      <c r="L35" s="180"/>
      <c r="M35" s="96"/>
      <c r="N35" s="96"/>
      <c r="O35" s="96"/>
      <c r="P35" s="193"/>
      <c r="Q35" s="96"/>
      <c r="R35" s="96"/>
      <c r="S35" s="182"/>
      <c r="T35" s="96"/>
      <c r="U35" s="182"/>
      <c r="V35" s="182"/>
      <c r="W35" s="96"/>
      <c r="X35" s="96"/>
      <c r="Y35" s="96"/>
      <c r="Z35" s="96"/>
      <c r="AJ35" s="49"/>
      <c r="AK35" s="49"/>
      <c r="AL35" s="49"/>
      <c r="AM35" s="49"/>
      <c r="AN35" s="49"/>
      <c r="AO35" s="98"/>
      <c r="AP35" s="99"/>
      <c r="AQ35" s="96"/>
      <c r="AR35" s="111"/>
      <c r="AS35" s="111"/>
      <c r="AT35" s="111"/>
      <c r="AU35" s="111"/>
      <c r="AV35" s="111"/>
      <c r="AW35" s="111"/>
      <c r="AX35" s="111"/>
      <c r="AY35" s="111"/>
      <c r="AZ35" s="111"/>
    </row>
    <row r="36" spans="1:52" x14ac:dyDescent="0.25">
      <c r="A36" s="190"/>
      <c r="B36" s="96"/>
      <c r="C36" s="96"/>
      <c r="D36" s="180"/>
      <c r="E36" s="96"/>
      <c r="F36" s="180"/>
      <c r="G36" s="96"/>
      <c r="H36" s="190"/>
      <c r="I36" s="96"/>
      <c r="J36" s="96"/>
      <c r="K36" s="96"/>
      <c r="L36" s="180"/>
      <c r="M36" s="96"/>
      <c r="N36" s="96"/>
      <c r="O36" s="96"/>
      <c r="P36" s="193"/>
      <c r="Q36" s="96"/>
      <c r="R36" s="96"/>
      <c r="S36" s="182"/>
      <c r="T36" s="96"/>
      <c r="U36" s="182"/>
      <c r="V36" s="182"/>
      <c r="W36" s="96"/>
      <c r="X36" s="96"/>
      <c r="Y36" s="96"/>
      <c r="Z36" s="96"/>
      <c r="AJ36" s="49"/>
      <c r="AK36" s="49"/>
      <c r="AL36" s="49"/>
      <c r="AM36" s="49"/>
      <c r="AN36" s="49"/>
      <c r="AO36" s="98"/>
      <c r="AP36" s="99"/>
      <c r="AQ36" s="96"/>
      <c r="AR36" s="111"/>
      <c r="AS36" s="111"/>
      <c r="AT36" s="111"/>
      <c r="AU36" s="111"/>
      <c r="AV36" s="111"/>
      <c r="AW36" s="111"/>
      <c r="AX36" s="111"/>
      <c r="AY36" s="111"/>
      <c r="AZ36" s="111"/>
    </row>
    <row r="37" spans="1:52" x14ac:dyDescent="0.25">
      <c r="A37" s="190"/>
      <c r="B37" s="96"/>
      <c r="C37" s="96"/>
      <c r="D37" s="180"/>
      <c r="E37" s="190"/>
      <c r="F37" s="192"/>
      <c r="G37" s="96"/>
      <c r="H37" s="96"/>
      <c r="I37" s="96"/>
      <c r="J37" s="96"/>
      <c r="K37" s="96"/>
      <c r="L37" s="180"/>
      <c r="M37" s="96"/>
      <c r="N37" s="96"/>
      <c r="O37" s="96"/>
      <c r="P37" s="193"/>
      <c r="Q37" s="96"/>
      <c r="R37" s="96"/>
      <c r="S37" s="182"/>
      <c r="T37" s="96"/>
      <c r="U37" s="182"/>
      <c r="V37" s="182"/>
      <c r="W37" s="96"/>
      <c r="X37" s="96"/>
      <c r="Y37" s="96"/>
      <c r="Z37" s="96"/>
      <c r="AJ37" s="49"/>
      <c r="AK37" s="49"/>
      <c r="AL37" s="49"/>
      <c r="AM37" s="49"/>
      <c r="AN37" s="49"/>
      <c r="AO37" s="98"/>
      <c r="AP37" s="99"/>
      <c r="AQ37" s="96"/>
      <c r="AR37" s="111"/>
      <c r="AS37" s="111"/>
      <c r="AT37" s="111"/>
      <c r="AU37" s="111"/>
      <c r="AV37" s="111"/>
      <c r="AW37" s="111"/>
      <c r="AX37" s="111"/>
      <c r="AY37" s="111"/>
      <c r="AZ37" s="111"/>
    </row>
    <row r="38" spans="1:52" x14ac:dyDescent="0.25">
      <c r="A38" s="190"/>
      <c r="B38" s="96"/>
      <c r="C38" s="96"/>
      <c r="D38" s="180"/>
      <c r="E38" s="96"/>
      <c r="F38" s="180"/>
      <c r="G38" s="96"/>
      <c r="H38" s="96"/>
      <c r="I38" s="96"/>
      <c r="J38" s="96"/>
      <c r="K38" s="96"/>
      <c r="L38" s="180"/>
      <c r="M38" s="96"/>
      <c r="N38" s="96"/>
      <c r="O38" s="96"/>
      <c r="P38" s="182"/>
      <c r="Q38" s="96"/>
      <c r="R38" s="96"/>
      <c r="S38" s="182"/>
      <c r="T38" s="96"/>
      <c r="U38" s="182"/>
      <c r="V38" s="182"/>
      <c r="W38" s="96"/>
      <c r="X38" s="96"/>
      <c r="Y38" s="96"/>
      <c r="Z38" s="96"/>
      <c r="AJ38" s="49"/>
      <c r="AK38" s="49"/>
      <c r="AL38" s="49"/>
      <c r="AM38" s="49"/>
      <c r="AN38" s="49"/>
      <c r="AO38" s="98"/>
      <c r="AP38" s="99"/>
      <c r="AQ38" s="96"/>
      <c r="AR38" s="111"/>
      <c r="AS38" s="111"/>
      <c r="AT38" s="111"/>
      <c r="AU38" s="111"/>
      <c r="AV38" s="111"/>
      <c r="AW38" s="111"/>
      <c r="AX38" s="111"/>
      <c r="AY38" s="111"/>
      <c r="AZ38" s="111"/>
    </row>
    <row r="39" spans="1:52" x14ac:dyDescent="0.25">
      <c r="A39" s="190"/>
      <c r="B39" s="96"/>
      <c r="C39" s="96"/>
      <c r="D39" s="180"/>
      <c r="E39" s="96"/>
      <c r="F39" s="180"/>
      <c r="G39" s="96"/>
      <c r="H39" s="96"/>
      <c r="I39" s="96"/>
      <c r="J39" s="96"/>
      <c r="K39" s="96"/>
      <c r="L39" s="180"/>
      <c r="M39" s="96"/>
      <c r="N39" s="96"/>
      <c r="O39" s="96"/>
      <c r="P39" s="182"/>
      <c r="Q39" s="192"/>
      <c r="R39" s="96"/>
      <c r="S39" s="182"/>
      <c r="T39" s="96"/>
      <c r="U39" s="182"/>
      <c r="V39" s="182"/>
      <c r="W39" s="96"/>
      <c r="X39" s="96"/>
      <c r="Y39" s="96"/>
      <c r="Z39" s="96"/>
      <c r="AJ39" s="49"/>
      <c r="AK39" s="49"/>
      <c r="AL39" s="49"/>
      <c r="AM39" s="49"/>
      <c r="AN39" s="49"/>
      <c r="AO39" s="98"/>
      <c r="AP39" s="99"/>
      <c r="AQ39" s="96"/>
      <c r="AR39" s="111"/>
      <c r="AS39" s="111"/>
      <c r="AT39" s="111"/>
      <c r="AU39" s="111"/>
      <c r="AV39" s="111"/>
      <c r="AW39" s="111"/>
      <c r="AX39" s="111"/>
      <c r="AY39" s="111"/>
      <c r="AZ39" s="111"/>
    </row>
    <row r="40" spans="1:52" x14ac:dyDescent="0.25">
      <c r="A40" s="190"/>
      <c r="B40" s="96"/>
      <c r="C40" s="96"/>
      <c r="D40" s="180"/>
      <c r="E40" s="96"/>
      <c r="F40" s="180"/>
      <c r="G40" s="96"/>
      <c r="H40" s="96"/>
      <c r="I40" s="190"/>
      <c r="J40" s="96"/>
      <c r="K40" s="96"/>
      <c r="L40" s="180"/>
      <c r="M40" s="96"/>
      <c r="N40" s="96"/>
      <c r="O40" s="96"/>
      <c r="P40" s="182"/>
      <c r="Q40" s="192"/>
      <c r="R40" s="96"/>
      <c r="S40" s="182"/>
      <c r="T40" s="96"/>
      <c r="U40" s="182"/>
      <c r="V40" s="182"/>
      <c r="W40" s="96"/>
      <c r="X40" s="96"/>
      <c r="Y40" s="96"/>
      <c r="Z40" s="96"/>
      <c r="AJ40" s="49"/>
      <c r="AK40" s="49"/>
      <c r="AL40" s="49"/>
      <c r="AM40" s="49"/>
      <c r="AN40" s="49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</row>
    <row r="41" spans="1:52" x14ac:dyDescent="0.25">
      <c r="A41" s="190"/>
      <c r="B41" s="96"/>
      <c r="C41" s="96"/>
      <c r="D41" s="180"/>
      <c r="E41" s="96"/>
      <c r="F41" s="180"/>
      <c r="G41" s="96"/>
      <c r="H41" s="96"/>
      <c r="I41" s="190"/>
      <c r="J41" s="96"/>
      <c r="K41" s="96"/>
      <c r="L41" s="180"/>
      <c r="M41" s="96"/>
      <c r="N41" s="96"/>
      <c r="O41" s="96"/>
      <c r="P41" s="182"/>
      <c r="Q41" s="192"/>
      <c r="R41" s="96"/>
      <c r="S41" s="182"/>
      <c r="T41" s="96"/>
      <c r="U41" s="182"/>
      <c r="V41" s="182"/>
      <c r="W41" s="96"/>
      <c r="X41" s="96"/>
      <c r="Y41" s="96"/>
      <c r="Z41" s="96"/>
      <c r="AJ41" s="49"/>
      <c r="AK41" s="49"/>
      <c r="AL41" s="49"/>
      <c r="AM41" s="49"/>
      <c r="AN41" s="49"/>
      <c r="AO41" s="98"/>
      <c r="AP41" s="99"/>
      <c r="AQ41" s="99"/>
      <c r="AR41" s="99"/>
      <c r="AS41" s="99"/>
      <c r="AT41" s="99"/>
      <c r="AU41" s="96"/>
      <c r="AV41" s="111"/>
      <c r="AW41" s="111"/>
      <c r="AX41" s="111"/>
      <c r="AY41" s="111"/>
      <c r="AZ41" s="111"/>
    </row>
    <row r="42" spans="1:52" x14ac:dyDescent="0.25">
      <c r="A42" s="190"/>
      <c r="B42" s="96"/>
      <c r="C42" s="96"/>
      <c r="D42" s="180"/>
      <c r="E42" s="190"/>
      <c r="F42" s="192"/>
      <c r="G42" s="96"/>
      <c r="H42" s="190"/>
      <c r="I42" s="96"/>
      <c r="J42" s="96"/>
      <c r="K42" s="190"/>
      <c r="L42" s="192"/>
      <c r="M42" s="96"/>
      <c r="N42" s="96"/>
      <c r="O42" s="96"/>
      <c r="P42" s="182"/>
      <c r="Q42" s="192"/>
      <c r="R42" s="96"/>
      <c r="S42" s="182"/>
      <c r="T42" s="96"/>
      <c r="U42" s="182"/>
      <c r="V42" s="182"/>
      <c r="W42" s="96"/>
      <c r="X42" s="96"/>
      <c r="Y42" s="96"/>
      <c r="Z42" s="96"/>
      <c r="AJ42" s="50"/>
      <c r="AK42" s="49"/>
      <c r="AL42" s="49"/>
      <c r="AM42" s="49"/>
      <c r="AN42" s="49"/>
      <c r="AO42" s="98"/>
      <c r="AP42" s="99"/>
      <c r="AQ42" s="99"/>
      <c r="AR42" s="99"/>
      <c r="AS42" s="99"/>
      <c r="AT42" s="99"/>
      <c r="AU42" s="96"/>
      <c r="AV42" s="111"/>
      <c r="AW42" s="111"/>
      <c r="AX42" s="111"/>
      <c r="AY42" s="111"/>
      <c r="AZ42" s="111"/>
    </row>
    <row r="43" spans="1:52" x14ac:dyDescent="0.25">
      <c r="A43" s="190"/>
      <c r="B43" s="96"/>
      <c r="C43" s="190"/>
      <c r="D43" s="192"/>
      <c r="E43" s="96"/>
      <c r="F43" s="180"/>
      <c r="G43" s="96"/>
      <c r="H43" s="96"/>
      <c r="I43" s="96"/>
      <c r="J43" s="190"/>
      <c r="K43" s="190"/>
      <c r="L43" s="192"/>
      <c r="M43" s="96"/>
      <c r="N43" s="96"/>
      <c r="O43" s="96"/>
      <c r="P43" s="182"/>
      <c r="Q43" s="192"/>
      <c r="R43" s="96"/>
      <c r="S43" s="182"/>
      <c r="T43" s="96"/>
      <c r="U43" s="182"/>
      <c r="V43" s="182"/>
      <c r="W43" s="96"/>
      <c r="X43" s="96"/>
      <c r="Y43" s="96"/>
      <c r="Z43" s="96"/>
      <c r="AJ43" s="49"/>
      <c r="AK43" s="49"/>
      <c r="AL43" s="49"/>
      <c r="AM43" s="49"/>
      <c r="AO43" s="98"/>
      <c r="AP43" s="99"/>
      <c r="AQ43" s="99"/>
      <c r="AR43" s="99"/>
      <c r="AS43" s="99"/>
      <c r="AT43" s="99"/>
      <c r="AU43" s="96"/>
      <c r="AV43" s="111"/>
      <c r="AW43" s="111"/>
      <c r="AX43" s="111"/>
      <c r="AY43" s="111"/>
      <c r="AZ43" s="111"/>
    </row>
    <row r="44" spans="1:52" x14ac:dyDescent="0.25">
      <c r="A44" s="190"/>
      <c r="B44" s="96"/>
      <c r="C44" s="96"/>
      <c r="D44" s="190"/>
      <c r="E44" s="190"/>
      <c r="F44" s="192"/>
      <c r="G44" s="96"/>
      <c r="H44" s="190"/>
      <c r="I44" s="96"/>
      <c r="J44" s="190"/>
      <c r="K44" s="96"/>
      <c r="L44" s="180"/>
      <c r="M44" s="96"/>
      <c r="N44" s="96"/>
      <c r="O44" s="96"/>
      <c r="P44" s="182"/>
      <c r="Q44" s="192"/>
      <c r="R44" s="182"/>
      <c r="S44" s="182"/>
      <c r="T44" s="96"/>
      <c r="U44" s="182"/>
      <c r="V44" s="182"/>
      <c r="W44" s="96"/>
      <c r="X44" s="96"/>
      <c r="Y44" s="96"/>
      <c r="Z44" s="96"/>
      <c r="AJ44" s="5"/>
      <c r="AK44" s="5"/>
      <c r="AL44" s="5"/>
      <c r="AM44" s="5"/>
      <c r="AN44" s="5"/>
      <c r="AO44" s="98"/>
      <c r="AP44" s="99"/>
      <c r="AQ44" s="99"/>
      <c r="AR44" s="99"/>
      <c r="AS44" s="99"/>
      <c r="AT44" s="99"/>
      <c r="AU44" s="96"/>
      <c r="AV44" s="111"/>
      <c r="AW44" s="111"/>
      <c r="AX44" s="111"/>
      <c r="AY44" s="111"/>
      <c r="AZ44" s="111"/>
    </row>
    <row r="45" spans="1:52" x14ac:dyDescent="0.25">
      <c r="A45" s="190"/>
      <c r="B45" s="96"/>
      <c r="C45" s="96"/>
      <c r="D45" s="190"/>
      <c r="E45" s="190"/>
      <c r="F45" s="190"/>
      <c r="G45" s="190"/>
      <c r="H45" s="96"/>
      <c r="I45" s="190"/>
      <c r="J45" s="96"/>
      <c r="K45" s="190"/>
      <c r="L45" s="182"/>
      <c r="M45" s="96"/>
      <c r="N45" s="96"/>
      <c r="O45" s="96"/>
      <c r="P45" s="182"/>
      <c r="Q45" s="182"/>
      <c r="R45" s="182"/>
      <c r="S45" s="182"/>
      <c r="T45" s="182"/>
      <c r="U45" s="182"/>
      <c r="V45" s="182"/>
      <c r="W45" s="96"/>
      <c r="X45" s="96"/>
      <c r="Y45" s="96"/>
      <c r="Z45" s="96"/>
      <c r="AJ45" s="5"/>
      <c r="AK45" s="5"/>
      <c r="AL45" s="5"/>
      <c r="AM45" s="5"/>
      <c r="AO45" s="98"/>
      <c r="AP45" s="99"/>
      <c r="AQ45" s="99"/>
      <c r="AR45" s="99"/>
      <c r="AS45" s="99"/>
      <c r="AT45" s="99"/>
      <c r="AU45" s="96"/>
      <c r="AV45" s="111"/>
      <c r="AW45" s="111"/>
      <c r="AX45" s="111"/>
      <c r="AY45" s="111"/>
      <c r="AZ45" s="111"/>
    </row>
    <row r="46" spans="1:52" x14ac:dyDescent="0.25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O46" s="98"/>
      <c r="AP46" s="99"/>
      <c r="AQ46" s="99"/>
      <c r="AR46" s="99"/>
      <c r="AS46" s="99"/>
      <c r="AT46" s="99"/>
      <c r="AU46" s="96"/>
      <c r="AV46" s="111"/>
      <c r="AW46" s="111"/>
      <c r="AX46" s="111"/>
      <c r="AY46" s="111"/>
      <c r="AZ46" s="111"/>
    </row>
    <row r="47" spans="1:52" x14ac:dyDescent="0.25">
      <c r="A47" s="90"/>
      <c r="B47" s="90"/>
      <c r="C47" s="90"/>
      <c r="D47" s="90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O47" s="98"/>
      <c r="AP47" s="99"/>
      <c r="AQ47" s="99"/>
      <c r="AR47" s="99"/>
      <c r="AS47" s="99"/>
      <c r="AT47" s="99"/>
      <c r="AU47" s="96"/>
      <c r="AV47" s="111"/>
      <c r="AW47" s="111"/>
      <c r="AX47" s="111"/>
      <c r="AY47" s="111"/>
      <c r="AZ47" s="111"/>
    </row>
    <row r="48" spans="1:52" x14ac:dyDescent="0.25">
      <c r="A48" s="90"/>
      <c r="B48" s="90"/>
      <c r="C48" s="90"/>
      <c r="D48" s="90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O48" s="98"/>
      <c r="AP48" s="99"/>
      <c r="AQ48" s="99"/>
      <c r="AR48" s="99"/>
      <c r="AS48" s="99"/>
      <c r="AT48" s="99"/>
      <c r="AU48" s="96"/>
      <c r="AV48" s="111"/>
      <c r="AW48" s="111"/>
      <c r="AX48" s="111"/>
      <c r="AY48" s="111"/>
      <c r="AZ48" s="111"/>
    </row>
    <row r="49" spans="1:52" x14ac:dyDescent="0.25">
      <c r="A49" s="90"/>
      <c r="B49" s="90"/>
      <c r="C49" s="90"/>
      <c r="D49" s="90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O49" s="98"/>
      <c r="AP49" s="99"/>
      <c r="AQ49" s="99"/>
      <c r="AR49" s="99"/>
      <c r="AS49" s="99"/>
      <c r="AT49" s="99"/>
      <c r="AU49" s="96"/>
      <c r="AV49" s="111"/>
      <c r="AW49" s="111"/>
      <c r="AX49" s="111"/>
      <c r="AY49" s="111"/>
      <c r="AZ49" s="111"/>
    </row>
    <row r="50" spans="1:52" x14ac:dyDescent="0.25">
      <c r="A50" s="90"/>
      <c r="B50" s="90"/>
      <c r="C50" s="90"/>
      <c r="D50" s="90"/>
      <c r="AO50" s="98"/>
      <c r="AP50" s="99"/>
      <c r="AQ50" s="99"/>
      <c r="AR50" s="99"/>
      <c r="AS50" s="99"/>
      <c r="AT50" s="99"/>
      <c r="AU50" s="96"/>
      <c r="AV50" s="111"/>
      <c r="AW50" s="111"/>
      <c r="AX50" s="111"/>
      <c r="AY50" s="111"/>
      <c r="AZ50" s="111"/>
    </row>
    <row r="51" spans="1:52" x14ac:dyDescent="0.25">
      <c r="A51" s="90"/>
      <c r="B51" s="90"/>
      <c r="C51" s="90"/>
      <c r="D51" s="90"/>
      <c r="AO51" s="98"/>
      <c r="AP51" s="99"/>
      <c r="AQ51" s="99"/>
      <c r="AR51" s="99"/>
      <c r="AS51" s="99"/>
      <c r="AT51" s="99"/>
      <c r="AU51" s="96"/>
      <c r="AV51" s="111"/>
      <c r="AW51" s="111"/>
      <c r="AX51" s="111"/>
      <c r="AY51" s="111"/>
      <c r="AZ51" s="111"/>
    </row>
    <row r="52" spans="1:52" x14ac:dyDescent="0.25">
      <c r="AO52" s="98"/>
      <c r="AP52" s="99"/>
      <c r="AQ52" s="99"/>
      <c r="AR52" s="99"/>
      <c r="AS52" s="99"/>
      <c r="AT52" s="99"/>
      <c r="AU52" s="96"/>
      <c r="AV52" s="111"/>
      <c r="AW52" s="111"/>
      <c r="AX52" s="111"/>
      <c r="AY52" s="111"/>
      <c r="AZ52" s="111"/>
    </row>
    <row r="53" spans="1:52" x14ac:dyDescent="0.25">
      <c r="AO53" s="98"/>
      <c r="AP53" s="99"/>
      <c r="AQ53" s="99"/>
      <c r="AR53" s="99"/>
      <c r="AS53" s="99"/>
      <c r="AT53" s="99"/>
      <c r="AU53" s="96"/>
      <c r="AV53" s="111"/>
      <c r="AW53" s="111"/>
      <c r="AX53" s="111"/>
      <c r="AY53" s="111"/>
      <c r="AZ53" s="111"/>
    </row>
    <row r="54" spans="1:52" x14ac:dyDescent="0.25">
      <c r="AO54" s="98"/>
      <c r="AP54" s="99"/>
      <c r="AQ54" s="99"/>
      <c r="AR54" s="99"/>
      <c r="AS54" s="99"/>
      <c r="AT54" s="99"/>
      <c r="AU54" s="96"/>
      <c r="AV54" s="111"/>
      <c r="AW54" s="111"/>
      <c r="AX54" s="111"/>
      <c r="AY54" s="111"/>
      <c r="AZ54" s="111"/>
    </row>
    <row r="55" spans="1:52" x14ac:dyDescent="0.25">
      <c r="AO55" s="98"/>
      <c r="AP55" s="99"/>
      <c r="AQ55" s="99"/>
      <c r="AR55" s="99"/>
      <c r="AS55" s="99"/>
      <c r="AT55" s="99"/>
      <c r="AU55" s="96"/>
      <c r="AV55" s="111"/>
      <c r="AW55" s="111"/>
      <c r="AX55" s="111"/>
      <c r="AY55" s="111"/>
      <c r="AZ55" s="111"/>
    </row>
    <row r="56" spans="1:52" x14ac:dyDescent="0.25">
      <c r="AO56" s="98"/>
      <c r="AP56" s="99"/>
      <c r="AQ56" s="99"/>
      <c r="AR56" s="99"/>
      <c r="AS56" s="99"/>
      <c r="AT56" s="99"/>
      <c r="AU56" s="96"/>
      <c r="AV56" s="111"/>
      <c r="AW56" s="111"/>
      <c r="AX56" s="111"/>
      <c r="AY56" s="111"/>
      <c r="AZ56" s="111"/>
    </row>
    <row r="57" spans="1:52" x14ac:dyDescent="0.25">
      <c r="AO57" s="98"/>
      <c r="AP57" s="99"/>
      <c r="AQ57" s="99"/>
      <c r="AR57" s="99"/>
      <c r="AS57" s="99"/>
      <c r="AT57" s="99"/>
      <c r="AU57" s="96"/>
      <c r="AV57" s="111"/>
      <c r="AW57" s="111"/>
      <c r="AX57" s="111"/>
      <c r="AY57" s="111"/>
      <c r="AZ57" s="111"/>
    </row>
    <row r="58" spans="1:52" x14ac:dyDescent="0.25">
      <c r="AO58" s="98"/>
      <c r="AP58" s="99"/>
      <c r="AQ58" s="99"/>
      <c r="AR58" s="99"/>
      <c r="AS58" s="99"/>
      <c r="AT58" s="99"/>
      <c r="AU58" s="96"/>
      <c r="AV58" s="111"/>
      <c r="AW58" s="111"/>
      <c r="AX58" s="111"/>
      <c r="AY58" s="111"/>
      <c r="AZ58" s="111"/>
    </row>
    <row r="59" spans="1:52" x14ac:dyDescent="0.25">
      <c r="AO59" s="98"/>
      <c r="AP59" s="99"/>
      <c r="AQ59" s="99"/>
      <c r="AR59" s="99"/>
      <c r="AS59" s="99"/>
      <c r="AT59" s="99"/>
      <c r="AU59" s="96"/>
      <c r="AV59" s="111"/>
      <c r="AW59" s="111"/>
      <c r="AX59" s="111"/>
      <c r="AY59" s="111"/>
      <c r="AZ59" s="111"/>
    </row>
    <row r="60" spans="1:52" x14ac:dyDescent="0.25">
      <c r="AO60" s="98"/>
      <c r="AP60" s="99"/>
      <c r="AQ60" s="99"/>
      <c r="AR60" s="99"/>
      <c r="AS60" s="99"/>
      <c r="AT60" s="99"/>
      <c r="AU60" s="96"/>
      <c r="AV60" s="111"/>
      <c r="AW60" s="111"/>
      <c r="AX60" s="111"/>
      <c r="AY60" s="111"/>
      <c r="AZ60" s="111"/>
    </row>
    <row r="61" spans="1:52" x14ac:dyDescent="0.25">
      <c r="AO61" s="98"/>
      <c r="AP61" s="99"/>
      <c r="AQ61" s="99"/>
      <c r="AR61" s="99"/>
      <c r="AS61" s="99"/>
      <c r="AT61" s="99"/>
      <c r="AU61" s="96"/>
      <c r="AV61" s="111"/>
      <c r="AW61" s="111"/>
      <c r="AX61" s="111"/>
      <c r="AY61" s="111"/>
      <c r="AZ61" s="111"/>
    </row>
    <row r="62" spans="1:52" x14ac:dyDescent="0.25">
      <c r="AO62" s="98"/>
      <c r="AP62" s="99"/>
      <c r="AQ62" s="99"/>
      <c r="AR62" s="99"/>
      <c r="AS62" s="99"/>
      <c r="AT62" s="99"/>
      <c r="AU62" s="96"/>
      <c r="AV62" s="111"/>
      <c r="AW62" s="111"/>
      <c r="AX62" s="111"/>
      <c r="AY62" s="111"/>
      <c r="AZ62" s="111"/>
    </row>
    <row r="63" spans="1:52" x14ac:dyDescent="0.25">
      <c r="AO63" s="98"/>
      <c r="AP63" s="99"/>
      <c r="AQ63" s="99"/>
      <c r="AR63" s="99"/>
      <c r="AS63" s="99"/>
      <c r="AT63" s="99"/>
      <c r="AU63" s="96"/>
      <c r="AV63" s="111"/>
      <c r="AW63" s="111"/>
      <c r="AX63" s="111"/>
      <c r="AY63" s="111"/>
      <c r="AZ63" s="111"/>
    </row>
    <row r="64" spans="1:52" x14ac:dyDescent="0.25">
      <c r="AO64" s="98"/>
      <c r="AP64" s="99"/>
      <c r="AQ64" s="99"/>
      <c r="AR64" s="99"/>
      <c r="AS64" s="99"/>
      <c r="AT64" s="99"/>
      <c r="AU64" s="96"/>
      <c r="AV64" s="111"/>
      <c r="AW64" s="111"/>
      <c r="AX64" s="111"/>
      <c r="AY64" s="111"/>
      <c r="AZ64" s="111"/>
    </row>
    <row r="65" spans="41:52" x14ac:dyDescent="0.25">
      <c r="AO65" s="98"/>
      <c r="AP65" s="99"/>
      <c r="AQ65" s="99"/>
      <c r="AR65" s="99"/>
      <c r="AS65" s="99"/>
      <c r="AT65" s="99"/>
      <c r="AU65" s="96"/>
      <c r="AV65" s="111"/>
      <c r="AW65" s="111"/>
      <c r="AX65" s="111"/>
      <c r="AY65" s="111"/>
      <c r="AZ65" s="111"/>
    </row>
    <row r="66" spans="41:52" x14ac:dyDescent="0.25">
      <c r="AO66" s="98"/>
      <c r="AP66" s="99"/>
      <c r="AQ66" s="99"/>
      <c r="AR66" s="99"/>
      <c r="AS66" s="99"/>
      <c r="AT66" s="99"/>
      <c r="AU66" s="96"/>
      <c r="AV66" s="111"/>
      <c r="AW66" s="111"/>
      <c r="AX66" s="111"/>
      <c r="AY66" s="111"/>
      <c r="AZ66" s="111"/>
    </row>
    <row r="67" spans="41:52" x14ac:dyDescent="0.25">
      <c r="AO67" s="98"/>
      <c r="AP67" s="99"/>
      <c r="AQ67" s="99"/>
      <c r="AR67" s="99"/>
      <c r="AS67" s="99"/>
      <c r="AT67" s="99"/>
      <c r="AU67" s="96"/>
      <c r="AV67" s="111"/>
      <c r="AW67" s="111"/>
      <c r="AX67" s="111"/>
      <c r="AY67" s="111"/>
      <c r="AZ67" s="111"/>
    </row>
    <row r="68" spans="41:52" x14ac:dyDescent="0.25">
      <c r="AO68" s="98"/>
      <c r="AP68" s="99"/>
      <c r="AQ68" s="99"/>
      <c r="AR68" s="99"/>
      <c r="AS68" s="99"/>
      <c r="AT68" s="99"/>
      <c r="AU68" s="96"/>
      <c r="AV68" s="111"/>
      <c r="AW68" s="111"/>
      <c r="AX68" s="111"/>
      <c r="AY68" s="111"/>
      <c r="AZ68" s="111"/>
    </row>
    <row r="69" spans="41:52" x14ac:dyDescent="0.25">
      <c r="AO69" s="98"/>
      <c r="AP69" s="99"/>
      <c r="AQ69" s="99"/>
      <c r="AR69" s="99"/>
      <c r="AS69" s="99"/>
      <c r="AT69" s="99"/>
      <c r="AU69" s="96"/>
      <c r="AV69" s="111"/>
      <c r="AW69" s="111"/>
      <c r="AX69" s="111"/>
      <c r="AY69" s="111"/>
      <c r="AZ69" s="111"/>
    </row>
    <row r="70" spans="41:52" x14ac:dyDescent="0.25">
      <c r="AO70" s="98"/>
      <c r="AP70" s="99"/>
      <c r="AQ70" s="99"/>
      <c r="AR70" s="99"/>
      <c r="AS70" s="99"/>
      <c r="AT70" s="99"/>
      <c r="AU70" s="96"/>
      <c r="AV70" s="111"/>
      <c r="AW70" s="111"/>
      <c r="AX70" s="111"/>
      <c r="AY70" s="111"/>
      <c r="AZ70" s="111"/>
    </row>
    <row r="71" spans="41:52" x14ac:dyDescent="0.25"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</row>
  </sheetData>
  <mergeCells count="1">
    <mergeCell ref="A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241B-9D93-4059-850A-D95B71258129}">
  <dimension ref="B1:BC71"/>
  <sheetViews>
    <sheetView zoomScale="85" workbookViewId="0">
      <selection activeCell="N7" sqref="N7"/>
    </sheetView>
  </sheetViews>
  <sheetFormatPr defaultRowHeight="15" x14ac:dyDescent="0.25"/>
  <cols>
    <col min="30" max="30" width="8.28515625" customWidth="1"/>
    <col min="31" max="31" width="42.42578125" customWidth="1"/>
  </cols>
  <sheetData>
    <row r="1" spans="2:55" x14ac:dyDescent="0.25">
      <c r="B1" s="121" t="s">
        <v>230</v>
      </c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</row>
    <row r="2" spans="2:55" x14ac:dyDescent="0.25">
      <c r="B2" s="254" t="s">
        <v>54</v>
      </c>
      <c r="C2" s="255"/>
      <c r="D2" s="255"/>
      <c r="E2" s="255"/>
      <c r="F2" s="255"/>
      <c r="G2" s="255"/>
      <c r="H2" s="255"/>
      <c r="I2" s="255"/>
      <c r="J2" s="255"/>
      <c r="K2" s="255"/>
      <c r="L2" s="256"/>
      <c r="M2" s="8"/>
      <c r="N2" s="8"/>
      <c r="O2" s="8"/>
      <c r="Q2" s="165"/>
      <c r="R2" s="83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96"/>
      <c r="AE2" s="96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96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</row>
    <row r="3" spans="2:55" x14ac:dyDescent="0.25">
      <c r="B3" s="7" t="s">
        <v>3</v>
      </c>
      <c r="C3" s="8" t="s">
        <v>39</v>
      </c>
      <c r="D3" s="8" t="s">
        <v>40</v>
      </c>
      <c r="E3" s="8" t="s">
        <v>41</v>
      </c>
      <c r="F3" s="8" t="s">
        <v>42</v>
      </c>
      <c r="G3" s="8" t="s">
        <v>43</v>
      </c>
      <c r="H3" s="8" t="s">
        <v>44</v>
      </c>
      <c r="I3" s="8" t="s">
        <v>45</v>
      </c>
      <c r="J3" s="8" t="s">
        <v>46</v>
      </c>
      <c r="K3" s="8" t="s">
        <v>47</v>
      </c>
      <c r="L3" s="9" t="s">
        <v>48</v>
      </c>
      <c r="O3" s="84"/>
      <c r="P3" s="90"/>
      <c r="Q3" s="165"/>
      <c r="R3" s="165"/>
      <c r="S3" s="96"/>
      <c r="T3" s="96"/>
      <c r="U3" s="96"/>
      <c r="V3" s="96"/>
      <c r="W3" s="165"/>
      <c r="X3" s="96"/>
      <c r="Y3" s="96"/>
      <c r="Z3" s="96"/>
      <c r="AA3" s="165"/>
      <c r="AB3" s="165"/>
      <c r="AC3" s="165"/>
      <c r="AD3" s="96"/>
      <c r="AE3" s="96"/>
      <c r="AF3" s="113"/>
      <c r="AG3" s="113"/>
      <c r="AH3" s="165"/>
      <c r="AI3" s="113"/>
      <c r="AJ3" s="113"/>
      <c r="AK3" s="113"/>
      <c r="AL3" s="113"/>
      <c r="AM3" s="113"/>
      <c r="AN3" s="113"/>
      <c r="AO3" s="113"/>
      <c r="AP3" s="113"/>
      <c r="AQ3" s="96"/>
      <c r="AR3" s="95"/>
      <c r="AS3" s="113"/>
      <c r="AT3" s="113"/>
      <c r="AU3" s="95"/>
      <c r="AV3" s="113"/>
      <c r="AW3" s="113"/>
      <c r="AX3" s="113"/>
      <c r="AY3" s="113"/>
      <c r="AZ3" s="113"/>
      <c r="BA3" s="113"/>
      <c r="BB3" s="113"/>
      <c r="BC3" s="113"/>
    </row>
    <row r="4" spans="2:55" x14ac:dyDescent="0.25">
      <c r="B4" s="207">
        <v>33250000</v>
      </c>
      <c r="C4" s="208">
        <v>23750000</v>
      </c>
      <c r="D4" s="208">
        <v>33250000</v>
      </c>
      <c r="E4" s="208">
        <v>27500000</v>
      </c>
      <c r="F4" s="208">
        <v>38500000</v>
      </c>
      <c r="G4" s="208">
        <v>12250000</v>
      </c>
      <c r="H4" s="208">
        <v>10500000</v>
      </c>
      <c r="I4" s="208">
        <v>16250000</v>
      </c>
      <c r="J4" s="208">
        <v>7500000</v>
      </c>
      <c r="K4" s="208">
        <v>15500000</v>
      </c>
      <c r="L4" s="209">
        <v>15750000</v>
      </c>
      <c r="M4" s="8"/>
      <c r="N4" s="129"/>
      <c r="O4" s="83"/>
      <c r="P4" s="90"/>
      <c r="Q4" s="165"/>
      <c r="R4" s="165"/>
      <c r="S4" s="96"/>
      <c r="T4" s="96"/>
      <c r="U4" s="96"/>
      <c r="V4" s="96"/>
      <c r="W4" s="134"/>
      <c r="X4" s="96"/>
      <c r="Y4" s="96"/>
      <c r="Z4" s="96"/>
      <c r="AA4" s="165"/>
      <c r="AB4" s="165"/>
      <c r="AC4" s="165"/>
      <c r="AD4" s="96"/>
      <c r="AE4" s="96"/>
      <c r="AF4" s="165"/>
      <c r="AG4" s="113"/>
      <c r="AH4" s="113"/>
      <c r="AI4" s="113"/>
      <c r="AJ4" s="165"/>
      <c r="AK4" s="165"/>
      <c r="AL4" s="165"/>
      <c r="AM4" s="165"/>
      <c r="AN4" s="165"/>
      <c r="AO4" s="165"/>
      <c r="AP4" s="165"/>
      <c r="AQ4" s="96"/>
      <c r="AR4" s="98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</row>
    <row r="5" spans="2:55" x14ac:dyDescent="0.25">
      <c r="B5" s="201">
        <v>21750000</v>
      </c>
      <c r="C5" s="83">
        <v>21500000</v>
      </c>
      <c r="D5" s="83">
        <v>36000000</v>
      </c>
      <c r="E5" s="83">
        <v>27250000</v>
      </c>
      <c r="F5" s="83">
        <v>24750000</v>
      </c>
      <c r="G5" s="83">
        <v>11500000</v>
      </c>
      <c r="H5" s="83">
        <v>30250000</v>
      </c>
      <c r="I5" s="83">
        <v>15000000</v>
      </c>
      <c r="J5" s="83">
        <v>7750000</v>
      </c>
      <c r="K5" s="83">
        <v>21500000</v>
      </c>
      <c r="L5" s="206">
        <v>9250000</v>
      </c>
      <c r="M5" s="8"/>
      <c r="N5" s="129"/>
      <c r="O5" s="83"/>
      <c r="P5" s="90"/>
      <c r="Q5" s="165"/>
      <c r="R5" s="165"/>
      <c r="S5" s="96"/>
      <c r="T5" s="96"/>
      <c r="U5" s="96"/>
      <c r="V5" s="96"/>
      <c r="W5" s="165"/>
      <c r="X5" s="96"/>
      <c r="Y5" s="96"/>
      <c r="Z5" s="96"/>
      <c r="AA5" s="165"/>
      <c r="AB5" s="165"/>
      <c r="AC5" s="165"/>
      <c r="AD5" s="96"/>
      <c r="AE5" s="96"/>
      <c r="AF5" s="165"/>
      <c r="AG5" s="113"/>
      <c r="AH5" s="113"/>
      <c r="AI5" s="165"/>
      <c r="AJ5" s="165"/>
      <c r="AK5" s="165"/>
      <c r="AL5" s="165"/>
      <c r="AM5" s="165"/>
      <c r="AN5" s="165"/>
      <c r="AO5" s="165"/>
      <c r="AP5" s="165"/>
      <c r="AQ5" s="96"/>
      <c r="AR5" s="98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</row>
    <row r="6" spans="2:55" x14ac:dyDescent="0.25">
      <c r="B6" s="201">
        <v>21000000</v>
      </c>
      <c r="C6" s="83">
        <v>18000000</v>
      </c>
      <c r="D6" s="83">
        <v>39000000</v>
      </c>
      <c r="E6" s="83">
        <v>37000000</v>
      </c>
      <c r="F6" s="83">
        <v>35500000</v>
      </c>
      <c r="G6" s="83">
        <v>13250000</v>
      </c>
      <c r="H6" s="83">
        <v>15000000</v>
      </c>
      <c r="I6" s="83">
        <v>12000000</v>
      </c>
      <c r="J6" s="83">
        <v>9500000</v>
      </c>
      <c r="K6" s="83">
        <v>20250000</v>
      </c>
      <c r="L6" s="206">
        <v>6500000</v>
      </c>
      <c r="M6" s="8"/>
      <c r="N6" s="129"/>
      <c r="O6" s="83"/>
      <c r="P6" s="90"/>
      <c r="Q6" s="165"/>
      <c r="R6" s="165"/>
      <c r="S6" s="96"/>
      <c r="T6" s="96"/>
      <c r="U6" s="96"/>
      <c r="V6" s="96"/>
      <c r="W6" s="134"/>
      <c r="X6" s="96"/>
      <c r="Y6" s="96"/>
      <c r="Z6" s="96"/>
      <c r="AA6" s="165"/>
      <c r="AB6" s="165"/>
      <c r="AC6" s="165"/>
      <c r="AD6" s="96"/>
      <c r="AE6" s="96"/>
      <c r="AF6" s="165"/>
      <c r="AG6" s="113"/>
      <c r="AH6" s="113"/>
      <c r="AI6" s="165"/>
      <c r="AJ6" s="165"/>
      <c r="AK6" s="165"/>
      <c r="AL6" s="165"/>
      <c r="AM6" s="165"/>
      <c r="AN6" s="165"/>
      <c r="AO6" s="165"/>
      <c r="AP6" s="165"/>
      <c r="AQ6" s="96"/>
      <c r="AR6" s="98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</row>
    <row r="7" spans="2:55" x14ac:dyDescent="0.25">
      <c r="B7" s="201">
        <v>21750000</v>
      </c>
      <c r="C7" s="83">
        <v>35250000</v>
      </c>
      <c r="D7" s="83">
        <v>34000000</v>
      </c>
      <c r="E7" s="83">
        <v>36750000</v>
      </c>
      <c r="F7" s="83">
        <v>37500000</v>
      </c>
      <c r="G7" s="83">
        <v>7250000</v>
      </c>
      <c r="H7" s="83">
        <v>28500000</v>
      </c>
      <c r="I7" s="83">
        <v>11500000</v>
      </c>
      <c r="J7" s="83">
        <v>4250000</v>
      </c>
      <c r="K7" s="83">
        <v>28500000</v>
      </c>
      <c r="L7" s="206">
        <v>11750000</v>
      </c>
      <c r="M7" s="8"/>
      <c r="N7" s="129"/>
      <c r="O7" s="83"/>
      <c r="P7" s="90"/>
      <c r="Q7" s="165"/>
      <c r="R7" s="165"/>
      <c r="S7" s="96"/>
      <c r="T7" s="96"/>
      <c r="U7" s="96"/>
      <c r="V7" s="96"/>
      <c r="W7" s="134"/>
      <c r="X7" s="96"/>
      <c r="Y7" s="96"/>
      <c r="Z7" s="96"/>
      <c r="AA7" s="165"/>
      <c r="AB7" s="165"/>
      <c r="AC7" s="165"/>
      <c r="AD7" s="96"/>
      <c r="AE7" s="96"/>
      <c r="AF7" s="113"/>
      <c r="AG7" s="113"/>
      <c r="AH7" s="113"/>
      <c r="AI7" s="165"/>
      <c r="AJ7" s="165"/>
      <c r="AK7" s="165"/>
      <c r="AL7" s="165"/>
      <c r="AM7" s="165"/>
      <c r="AN7" s="165"/>
      <c r="AO7" s="165"/>
      <c r="AP7" s="165"/>
      <c r="AQ7" s="96"/>
      <c r="AR7" s="98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</row>
    <row r="8" spans="2:55" x14ac:dyDescent="0.25">
      <c r="B8" s="201">
        <v>23000000</v>
      </c>
      <c r="C8" s="83">
        <v>15500000</v>
      </c>
      <c r="D8" s="83">
        <v>33000000</v>
      </c>
      <c r="E8" s="83">
        <v>39000000</v>
      </c>
      <c r="F8" s="83">
        <v>28500000</v>
      </c>
      <c r="G8" s="83">
        <v>16750000</v>
      </c>
      <c r="H8" s="83">
        <v>17000000</v>
      </c>
      <c r="I8" s="83">
        <v>9750000</v>
      </c>
      <c r="J8" s="83">
        <v>15500000</v>
      </c>
      <c r="K8" s="83">
        <v>17500000</v>
      </c>
      <c r="L8" s="206">
        <v>5750000</v>
      </c>
      <c r="M8" s="8"/>
      <c r="N8" s="129"/>
      <c r="O8" s="83"/>
      <c r="P8" s="90"/>
      <c r="Q8" s="165"/>
      <c r="R8" s="165"/>
      <c r="S8" s="96"/>
      <c r="T8" s="96"/>
      <c r="U8" s="96"/>
      <c r="V8" s="96"/>
      <c r="W8" s="134"/>
      <c r="X8" s="96"/>
      <c r="Y8" s="96"/>
      <c r="Z8" s="96"/>
      <c r="AA8" s="165"/>
      <c r="AB8" s="165"/>
      <c r="AC8" s="165"/>
      <c r="AD8" s="96"/>
      <c r="AE8" s="96"/>
      <c r="AF8" s="113"/>
      <c r="AG8" s="113"/>
      <c r="AH8" s="113"/>
      <c r="AI8" s="165"/>
      <c r="AJ8" s="165"/>
      <c r="AK8" s="165"/>
      <c r="AL8" s="165"/>
      <c r="AM8" s="165"/>
      <c r="AN8" s="165"/>
      <c r="AO8" s="165"/>
      <c r="AP8" s="165"/>
      <c r="AQ8" s="96"/>
      <c r="AR8" s="98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</row>
    <row r="9" spans="2:55" x14ac:dyDescent="0.25">
      <c r="B9" s="201">
        <v>22250000</v>
      </c>
      <c r="C9" s="83">
        <v>34000000</v>
      </c>
      <c r="D9" s="83">
        <v>19250000</v>
      </c>
      <c r="E9" s="83">
        <v>30500000</v>
      </c>
      <c r="F9" s="83">
        <v>27000000</v>
      </c>
      <c r="G9" s="83">
        <v>27250000</v>
      </c>
      <c r="H9" s="83">
        <v>8500000</v>
      </c>
      <c r="I9" s="83">
        <v>28500000</v>
      </c>
      <c r="J9" s="83">
        <v>7500000</v>
      </c>
      <c r="K9" s="83">
        <v>11750000</v>
      </c>
      <c r="L9" s="206">
        <v>6750000</v>
      </c>
      <c r="M9" s="8"/>
      <c r="N9" s="129"/>
      <c r="O9" s="83"/>
      <c r="P9" s="90"/>
      <c r="Q9" s="165"/>
      <c r="R9" s="165"/>
      <c r="S9" s="96"/>
      <c r="T9" s="96"/>
      <c r="U9" s="96"/>
      <c r="V9" s="96"/>
      <c r="W9" s="165"/>
      <c r="X9" s="96"/>
      <c r="Y9" s="96"/>
      <c r="Z9" s="96"/>
      <c r="AA9" s="165"/>
      <c r="AB9" s="165"/>
      <c r="AC9" s="165"/>
      <c r="AD9" s="96"/>
      <c r="AE9" s="96"/>
      <c r="AF9" s="165"/>
      <c r="AG9" s="113"/>
      <c r="AH9" s="113"/>
      <c r="AI9" s="165"/>
      <c r="AJ9" s="165"/>
      <c r="AK9" s="165"/>
      <c r="AL9" s="165"/>
      <c r="AM9" s="165"/>
      <c r="AN9" s="165"/>
      <c r="AO9" s="165"/>
      <c r="AP9" s="165"/>
      <c r="AQ9" s="96"/>
      <c r="AR9" s="98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</row>
    <row r="10" spans="2:55" x14ac:dyDescent="0.25">
      <c r="B10" s="201">
        <v>26250000</v>
      </c>
      <c r="C10" s="83">
        <v>26250000</v>
      </c>
      <c r="D10" s="83">
        <v>9250000</v>
      </c>
      <c r="E10" s="83">
        <v>39500000</v>
      </c>
      <c r="F10" s="83">
        <v>35500000</v>
      </c>
      <c r="G10" s="83">
        <v>17500000</v>
      </c>
      <c r="H10" s="83">
        <v>9750000</v>
      </c>
      <c r="I10" s="83">
        <v>22500000</v>
      </c>
      <c r="J10" s="83">
        <v>8250000</v>
      </c>
      <c r="K10" s="83">
        <v>6750000</v>
      </c>
      <c r="L10" s="206">
        <v>15500000</v>
      </c>
      <c r="M10" s="8"/>
      <c r="N10" s="129"/>
      <c r="O10" s="83"/>
      <c r="P10" s="90"/>
      <c r="Q10" s="165"/>
      <c r="R10" s="165"/>
      <c r="S10" s="96"/>
      <c r="T10" s="96"/>
      <c r="U10" s="96"/>
      <c r="V10" s="96"/>
      <c r="W10" s="134"/>
      <c r="X10" s="96"/>
      <c r="Y10" s="96"/>
      <c r="Z10" s="96"/>
      <c r="AA10" s="165"/>
      <c r="AB10" s="165"/>
      <c r="AC10" s="165"/>
      <c r="AD10" s="96"/>
      <c r="AE10" s="96"/>
      <c r="AF10" s="113"/>
      <c r="AG10" s="113"/>
      <c r="AH10" s="113"/>
      <c r="AI10" s="165"/>
      <c r="AJ10" s="165"/>
      <c r="AK10" s="165"/>
      <c r="AL10" s="165"/>
      <c r="AM10" s="165"/>
      <c r="AN10" s="165"/>
      <c r="AO10" s="165"/>
      <c r="AP10" s="165"/>
      <c r="AQ10" s="96"/>
      <c r="AR10" s="98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</row>
    <row r="11" spans="2:55" x14ac:dyDescent="0.25">
      <c r="B11" s="201">
        <v>8000000</v>
      </c>
      <c r="C11" s="83">
        <v>23250000</v>
      </c>
      <c r="D11" s="83">
        <v>9250000</v>
      </c>
      <c r="E11" s="83">
        <v>24750000</v>
      </c>
      <c r="F11" s="83">
        <v>29750000</v>
      </c>
      <c r="G11" s="83">
        <v>32250000</v>
      </c>
      <c r="H11" s="83">
        <v>7500000</v>
      </c>
      <c r="I11" s="83">
        <v>5500000</v>
      </c>
      <c r="J11" s="83">
        <v>8000000</v>
      </c>
      <c r="K11" s="83">
        <v>11500000</v>
      </c>
      <c r="L11" s="206">
        <v>14750000</v>
      </c>
      <c r="M11" s="8"/>
      <c r="N11" s="129"/>
      <c r="O11" s="83"/>
      <c r="P11" s="90"/>
      <c r="Q11" s="165"/>
      <c r="R11" s="165"/>
      <c r="S11" s="96"/>
      <c r="T11" s="96"/>
      <c r="U11" s="96"/>
      <c r="V11" s="96"/>
      <c r="W11" s="134"/>
      <c r="X11" s="96"/>
      <c r="Y11" s="96"/>
      <c r="Z11" s="96"/>
      <c r="AA11" s="165"/>
      <c r="AB11" s="165"/>
      <c r="AC11" s="165"/>
      <c r="AD11" s="96"/>
      <c r="AE11" s="96"/>
      <c r="AF11" s="165"/>
      <c r="AG11" s="113"/>
      <c r="AH11" s="113"/>
      <c r="AI11" s="165"/>
      <c r="AJ11" s="165"/>
      <c r="AK11" s="165"/>
      <c r="AL11" s="165"/>
      <c r="AM11" s="165"/>
      <c r="AN11" s="165"/>
      <c r="AO11" s="165"/>
      <c r="AP11" s="165"/>
      <c r="AQ11" s="96"/>
      <c r="AR11" s="98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</row>
    <row r="12" spans="2:55" x14ac:dyDescent="0.25">
      <c r="B12" s="201">
        <v>7000000</v>
      </c>
      <c r="C12" s="83">
        <v>16500000</v>
      </c>
      <c r="D12" s="83">
        <v>14250000</v>
      </c>
      <c r="E12" s="83">
        <v>26500000</v>
      </c>
      <c r="F12" s="83">
        <v>21750000</v>
      </c>
      <c r="G12" s="83">
        <v>22750000</v>
      </c>
      <c r="H12" s="83">
        <v>23250000</v>
      </c>
      <c r="I12" s="83">
        <v>4250000</v>
      </c>
      <c r="J12" s="83">
        <v>7750000</v>
      </c>
      <c r="K12" s="83">
        <v>8000000</v>
      </c>
      <c r="L12" s="206">
        <v>5000000</v>
      </c>
      <c r="M12" s="8"/>
      <c r="N12" s="129"/>
      <c r="O12" s="83"/>
      <c r="P12" s="90"/>
      <c r="Q12" s="165"/>
      <c r="R12" s="165"/>
      <c r="S12" s="96"/>
      <c r="T12" s="96"/>
      <c r="U12" s="96"/>
      <c r="V12" s="96"/>
      <c r="W12" s="165"/>
      <c r="X12" s="96"/>
      <c r="Y12" s="96"/>
      <c r="Z12" s="96"/>
      <c r="AA12" s="165"/>
      <c r="AB12" s="165"/>
      <c r="AC12" s="165"/>
      <c r="AD12" s="96"/>
      <c r="AE12" s="96"/>
      <c r="AF12" s="165"/>
      <c r="AG12" s="113"/>
      <c r="AH12" s="113"/>
      <c r="AI12" s="165"/>
      <c r="AJ12" s="165"/>
      <c r="AK12" s="165"/>
      <c r="AL12" s="165"/>
      <c r="AM12" s="165"/>
      <c r="AN12" s="165"/>
      <c r="AO12" s="165"/>
      <c r="AP12" s="165"/>
      <c r="AQ12" s="96"/>
      <c r="AR12" s="98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</row>
    <row r="13" spans="2:55" x14ac:dyDescent="0.25">
      <c r="B13" s="201">
        <v>13750000</v>
      </c>
      <c r="C13" s="83">
        <v>8750000</v>
      </c>
      <c r="D13" s="83">
        <v>7250000</v>
      </c>
      <c r="E13" s="83">
        <v>21750000</v>
      </c>
      <c r="F13" s="83">
        <v>28750000</v>
      </c>
      <c r="G13" s="83">
        <v>17250000</v>
      </c>
      <c r="H13" s="83">
        <v>20750000</v>
      </c>
      <c r="I13" s="83">
        <v>38750000</v>
      </c>
      <c r="J13" s="83">
        <v>6750000</v>
      </c>
      <c r="K13" s="83">
        <v>8000000</v>
      </c>
      <c r="L13" s="206">
        <v>7000000</v>
      </c>
      <c r="M13" s="8"/>
      <c r="N13" s="129"/>
      <c r="O13" s="83"/>
      <c r="P13" s="90"/>
      <c r="Q13" s="165"/>
      <c r="R13" s="165"/>
      <c r="S13" s="96"/>
      <c r="T13" s="96"/>
      <c r="U13" s="96"/>
      <c r="V13" s="96"/>
      <c r="W13" s="134"/>
      <c r="X13" s="96"/>
      <c r="Y13" s="96"/>
      <c r="Z13" s="96"/>
      <c r="AA13" s="165"/>
      <c r="AB13" s="165"/>
      <c r="AC13" s="165"/>
      <c r="AD13" s="96"/>
      <c r="AE13" s="96"/>
      <c r="AF13" s="165"/>
      <c r="AG13" s="113"/>
      <c r="AH13" s="113"/>
      <c r="AI13" s="165"/>
      <c r="AJ13" s="165"/>
      <c r="AK13" s="165"/>
      <c r="AL13" s="165"/>
      <c r="AM13" s="165"/>
      <c r="AN13" s="165"/>
      <c r="AO13" s="165"/>
      <c r="AP13" s="165"/>
      <c r="AQ13" s="96"/>
      <c r="AR13" s="98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</row>
    <row r="14" spans="2:55" x14ac:dyDescent="0.25">
      <c r="B14" s="201">
        <v>26750000</v>
      </c>
      <c r="C14" s="83">
        <v>12750000</v>
      </c>
      <c r="D14" s="83">
        <v>7750000</v>
      </c>
      <c r="E14" s="83">
        <v>23750000</v>
      </c>
      <c r="F14" s="83">
        <v>20000000</v>
      </c>
      <c r="G14" s="83">
        <v>26250000</v>
      </c>
      <c r="H14" s="83">
        <v>19000000</v>
      </c>
      <c r="I14" s="83">
        <v>29500000</v>
      </c>
      <c r="J14" s="83">
        <v>25250000</v>
      </c>
      <c r="K14" s="83">
        <v>26500000</v>
      </c>
      <c r="L14" s="206">
        <v>31500000</v>
      </c>
      <c r="N14" s="92"/>
      <c r="O14" s="83"/>
      <c r="P14" s="90"/>
      <c r="Q14" s="165"/>
      <c r="R14" s="165"/>
      <c r="S14" s="96"/>
      <c r="T14" s="96"/>
      <c r="U14" s="96"/>
      <c r="V14" s="96"/>
      <c r="W14" s="134"/>
      <c r="X14" s="96"/>
      <c r="Y14" s="96"/>
      <c r="Z14" s="96"/>
      <c r="AA14" s="165"/>
      <c r="AB14" s="165"/>
      <c r="AC14" s="165"/>
      <c r="AD14" s="96"/>
      <c r="AE14" s="96"/>
      <c r="AF14" s="165"/>
      <c r="AG14" s="113"/>
      <c r="AH14" s="113"/>
      <c r="AI14" s="165"/>
      <c r="AJ14" s="165"/>
      <c r="AK14" s="165"/>
      <c r="AL14" s="165"/>
      <c r="AM14" s="165"/>
      <c r="AN14" s="165"/>
      <c r="AO14" s="165"/>
      <c r="AP14" s="165"/>
      <c r="AQ14" s="96"/>
      <c r="AR14" s="98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</row>
    <row r="15" spans="2:55" x14ac:dyDescent="0.25">
      <c r="B15" s="201">
        <v>18000000</v>
      </c>
      <c r="C15" s="83">
        <v>8250000</v>
      </c>
      <c r="D15" s="83">
        <v>7500000</v>
      </c>
      <c r="E15" s="83">
        <v>28000000</v>
      </c>
      <c r="F15" s="83">
        <v>14250000</v>
      </c>
      <c r="G15" s="83">
        <v>14750000</v>
      </c>
      <c r="H15" s="83">
        <v>30250000</v>
      </c>
      <c r="I15" s="83">
        <v>29750000</v>
      </c>
      <c r="J15" s="83">
        <v>21250000</v>
      </c>
      <c r="K15" s="83">
        <v>24500000</v>
      </c>
      <c r="L15" s="206">
        <v>17750000</v>
      </c>
      <c r="N15" s="92"/>
      <c r="O15" s="83"/>
      <c r="P15" s="90"/>
      <c r="Q15" s="165"/>
      <c r="R15" s="165"/>
      <c r="S15" s="96"/>
      <c r="T15" s="96"/>
      <c r="U15" s="96"/>
      <c r="V15" s="96"/>
      <c r="W15" s="134"/>
      <c r="X15" s="96"/>
      <c r="Y15" s="96"/>
      <c r="Z15" s="96"/>
      <c r="AA15" s="165"/>
      <c r="AB15" s="165"/>
      <c r="AC15" s="165"/>
      <c r="AD15" s="96"/>
      <c r="AE15" s="96"/>
      <c r="AF15" s="165"/>
      <c r="AG15" s="113"/>
      <c r="AH15" s="113"/>
      <c r="AI15" s="165"/>
      <c r="AJ15" s="165"/>
      <c r="AK15" s="165"/>
      <c r="AL15" s="165"/>
      <c r="AM15" s="165"/>
      <c r="AN15" s="165"/>
      <c r="AO15" s="165"/>
      <c r="AP15" s="165"/>
      <c r="AQ15" s="96"/>
      <c r="AR15" s="98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</row>
    <row r="16" spans="2:55" x14ac:dyDescent="0.25">
      <c r="B16" s="201">
        <v>12750000</v>
      </c>
      <c r="C16" s="83">
        <v>6500000</v>
      </c>
      <c r="D16" s="83">
        <v>9500000</v>
      </c>
      <c r="E16" s="83">
        <v>18250000</v>
      </c>
      <c r="F16" s="83">
        <v>24250000</v>
      </c>
      <c r="G16" s="83">
        <v>17000000</v>
      </c>
      <c r="H16" s="83">
        <v>16500000</v>
      </c>
      <c r="I16" s="83">
        <v>18750000</v>
      </c>
      <c r="J16" s="83">
        <v>27500000</v>
      </c>
      <c r="K16" s="83">
        <v>29000000</v>
      </c>
      <c r="L16" s="206">
        <v>27250000</v>
      </c>
      <c r="O16" s="84"/>
      <c r="P16" s="90"/>
      <c r="Q16" s="165"/>
      <c r="R16" s="165"/>
      <c r="S16" s="96"/>
      <c r="T16" s="96"/>
      <c r="U16" s="96"/>
      <c r="V16" s="96"/>
      <c r="W16" s="134"/>
      <c r="X16" s="96"/>
      <c r="Y16" s="96"/>
      <c r="Z16" s="96"/>
      <c r="AA16" s="165"/>
      <c r="AB16" s="165"/>
      <c r="AC16" s="165"/>
      <c r="AD16" s="96"/>
      <c r="AE16" s="96"/>
      <c r="AF16" s="165"/>
      <c r="AG16" s="113"/>
      <c r="AH16" s="113"/>
      <c r="AI16" s="165"/>
      <c r="AJ16" s="165"/>
      <c r="AK16" s="165"/>
      <c r="AL16" s="165"/>
      <c r="AM16" s="165"/>
      <c r="AN16" s="165"/>
      <c r="AO16" s="165"/>
      <c r="AP16" s="165"/>
      <c r="AQ16" s="96"/>
      <c r="AR16" s="98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</row>
    <row r="17" spans="2:55" x14ac:dyDescent="0.25">
      <c r="B17" s="201">
        <v>21750000</v>
      </c>
      <c r="C17" s="83">
        <v>24500000</v>
      </c>
      <c r="D17" s="83">
        <v>11750000</v>
      </c>
      <c r="E17" s="83">
        <v>20000000</v>
      </c>
      <c r="F17" s="83">
        <v>16500000</v>
      </c>
      <c r="G17" s="83">
        <v>6750000</v>
      </c>
      <c r="H17" s="83">
        <v>25750000</v>
      </c>
      <c r="I17" s="83">
        <v>16500000</v>
      </c>
      <c r="J17" s="83">
        <v>18750000</v>
      </c>
      <c r="K17" s="83">
        <v>7500000</v>
      </c>
      <c r="L17" s="206">
        <v>24750000</v>
      </c>
      <c r="O17" s="84"/>
      <c r="P17" s="90"/>
      <c r="Q17" s="165"/>
      <c r="R17" s="165"/>
      <c r="S17" s="96"/>
      <c r="T17" s="96"/>
      <c r="U17" s="96"/>
      <c r="V17" s="96"/>
      <c r="W17" s="134"/>
      <c r="X17" s="96"/>
      <c r="Y17" s="96"/>
      <c r="Z17" s="96"/>
      <c r="AA17" s="165"/>
      <c r="AB17" s="165"/>
      <c r="AC17" s="165"/>
      <c r="AD17" s="96"/>
      <c r="AE17" s="96"/>
      <c r="AF17" s="165"/>
      <c r="AG17" s="113"/>
      <c r="AH17" s="113"/>
      <c r="AI17" s="165"/>
      <c r="AJ17" s="165"/>
      <c r="AK17" s="165"/>
      <c r="AL17" s="165"/>
      <c r="AM17" s="165"/>
      <c r="AN17" s="165"/>
      <c r="AO17" s="165"/>
      <c r="AP17" s="165"/>
      <c r="AQ17" s="96"/>
      <c r="AR17" s="98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</row>
    <row r="18" spans="2:55" x14ac:dyDescent="0.25">
      <c r="B18" s="201">
        <v>15750000</v>
      </c>
      <c r="C18" s="83">
        <v>16500000</v>
      </c>
      <c r="D18" s="83">
        <v>19000000</v>
      </c>
      <c r="E18" s="83">
        <v>14000000</v>
      </c>
      <c r="F18" s="83">
        <v>15750000</v>
      </c>
      <c r="G18" s="83">
        <v>21250000</v>
      </c>
      <c r="H18" s="83">
        <v>17250000</v>
      </c>
      <c r="I18" s="83">
        <v>21000000</v>
      </c>
      <c r="J18" s="83">
        <v>14500000</v>
      </c>
      <c r="K18" s="83">
        <v>9250000</v>
      </c>
      <c r="L18" s="206">
        <v>26000000</v>
      </c>
      <c r="O18" s="84"/>
      <c r="P18" s="90"/>
      <c r="Q18" s="165"/>
      <c r="R18" s="165"/>
      <c r="S18" s="96"/>
      <c r="T18" s="96"/>
      <c r="U18" s="96"/>
      <c r="V18" s="96"/>
      <c r="W18" s="134"/>
      <c r="X18" s="96"/>
      <c r="Y18" s="96"/>
      <c r="Z18" s="96"/>
      <c r="AA18" s="165"/>
      <c r="AB18" s="165"/>
      <c r="AC18" s="165"/>
      <c r="AD18" s="96"/>
      <c r="AE18" s="96"/>
      <c r="AF18" s="165"/>
      <c r="AG18" s="113"/>
      <c r="AH18" s="113"/>
      <c r="AI18" s="165"/>
      <c r="AJ18" s="165"/>
      <c r="AK18" s="165"/>
      <c r="AL18" s="165"/>
      <c r="AM18" s="165"/>
      <c r="AN18" s="165"/>
      <c r="AO18" s="165"/>
      <c r="AP18" s="165"/>
      <c r="AQ18" s="96"/>
      <c r="AR18" s="98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</row>
    <row r="19" spans="2:55" x14ac:dyDescent="0.25">
      <c r="B19" s="201">
        <v>21750000</v>
      </c>
      <c r="C19" s="83">
        <v>12750000</v>
      </c>
      <c r="D19" s="83">
        <v>6500000</v>
      </c>
      <c r="E19" s="83">
        <v>18750000</v>
      </c>
      <c r="F19" s="83">
        <v>18250000</v>
      </c>
      <c r="G19" s="83">
        <v>24000000</v>
      </c>
      <c r="H19" s="83">
        <v>17750000</v>
      </c>
      <c r="I19" s="83">
        <v>21250000</v>
      </c>
      <c r="J19" s="83">
        <v>33000000</v>
      </c>
      <c r="K19" s="83">
        <v>13250000</v>
      </c>
      <c r="L19" s="206">
        <v>16750000</v>
      </c>
      <c r="O19" s="84"/>
      <c r="P19" s="90"/>
      <c r="Q19" s="165"/>
      <c r="R19" s="165"/>
      <c r="S19" s="96"/>
      <c r="T19" s="96"/>
      <c r="U19" s="96"/>
      <c r="V19" s="96"/>
      <c r="W19" s="134"/>
      <c r="X19" s="96"/>
      <c r="Y19" s="96"/>
      <c r="Z19" s="96"/>
      <c r="AA19" s="165"/>
      <c r="AB19" s="165"/>
      <c r="AC19" s="165"/>
      <c r="AD19" s="96"/>
      <c r="AE19" s="96"/>
      <c r="AF19" s="165"/>
      <c r="AG19" s="113"/>
      <c r="AH19" s="113"/>
      <c r="AI19" s="165"/>
      <c r="AJ19" s="165"/>
      <c r="AK19" s="165"/>
      <c r="AL19" s="165"/>
      <c r="AM19" s="165"/>
      <c r="AN19" s="165"/>
      <c r="AO19" s="165"/>
      <c r="AP19" s="165"/>
      <c r="AQ19" s="96"/>
      <c r="AR19" s="98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</row>
    <row r="20" spans="2:55" x14ac:dyDescent="0.25">
      <c r="B20" s="201">
        <v>17500000</v>
      </c>
      <c r="C20" s="83">
        <v>22500000</v>
      </c>
      <c r="D20" s="83">
        <v>36250000</v>
      </c>
      <c r="E20" s="83">
        <v>17500000</v>
      </c>
      <c r="F20" s="83">
        <v>28000000</v>
      </c>
      <c r="G20" s="83">
        <v>36500000</v>
      </c>
      <c r="H20" s="83">
        <v>18750000</v>
      </c>
      <c r="I20" s="83">
        <v>23750000</v>
      </c>
      <c r="J20" s="83">
        <v>25250000</v>
      </c>
      <c r="K20" s="83">
        <v>25500000</v>
      </c>
      <c r="L20" s="206">
        <v>29750000</v>
      </c>
      <c r="O20" s="84"/>
      <c r="P20" s="90"/>
      <c r="Q20" s="165"/>
      <c r="R20" s="165"/>
      <c r="S20" s="96"/>
      <c r="T20" s="96"/>
      <c r="U20" s="96"/>
      <c r="V20" s="96"/>
      <c r="W20" s="134"/>
      <c r="X20" s="96"/>
      <c r="Y20" s="96"/>
      <c r="Z20" s="96"/>
      <c r="AA20" s="165"/>
      <c r="AB20" s="165"/>
      <c r="AC20" s="165"/>
      <c r="AD20" s="96"/>
      <c r="AE20" s="96"/>
      <c r="AF20" s="165"/>
      <c r="AG20" s="113"/>
      <c r="AH20" s="113"/>
      <c r="AI20" s="165"/>
      <c r="AJ20" s="165"/>
      <c r="AK20" s="165"/>
      <c r="AL20" s="165"/>
      <c r="AM20" s="165"/>
      <c r="AN20" s="165"/>
      <c r="AO20" s="165"/>
      <c r="AP20" s="165"/>
      <c r="AQ20" s="96"/>
      <c r="AR20" s="98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</row>
    <row r="21" spans="2:55" x14ac:dyDescent="0.25">
      <c r="B21" s="201">
        <v>28750000</v>
      </c>
      <c r="C21" s="83">
        <v>37250000</v>
      </c>
      <c r="D21" s="83">
        <v>14750000</v>
      </c>
      <c r="E21" s="83">
        <v>34000000</v>
      </c>
      <c r="F21" s="83">
        <v>31250000</v>
      </c>
      <c r="G21" s="83">
        <v>23750000</v>
      </c>
      <c r="H21" s="83">
        <v>15750000</v>
      </c>
      <c r="I21" s="83">
        <v>13250000</v>
      </c>
      <c r="J21" s="83">
        <v>20750000</v>
      </c>
      <c r="K21" s="83">
        <v>6250000</v>
      </c>
      <c r="L21" s="206">
        <v>23500000</v>
      </c>
      <c r="O21" s="84"/>
      <c r="P21" s="90"/>
      <c r="Q21" s="165"/>
      <c r="R21" s="165"/>
      <c r="S21" s="96"/>
      <c r="T21" s="96"/>
      <c r="U21" s="96"/>
      <c r="V21" s="96"/>
      <c r="W21" s="134"/>
      <c r="X21" s="96"/>
      <c r="Y21" s="96"/>
      <c r="Z21" s="96"/>
      <c r="AA21" s="165"/>
      <c r="AB21" s="165"/>
      <c r="AC21" s="165"/>
      <c r="AD21" s="96"/>
      <c r="AE21" s="96"/>
      <c r="AF21" s="113"/>
      <c r="AG21" s="113"/>
      <c r="AH21" s="113"/>
      <c r="AI21" s="165"/>
      <c r="AJ21" s="165"/>
      <c r="AK21" s="165"/>
      <c r="AL21" s="165"/>
      <c r="AM21" s="165"/>
      <c r="AN21" s="165"/>
      <c r="AO21" s="165"/>
      <c r="AP21" s="165"/>
      <c r="AQ21" s="96"/>
      <c r="AR21" s="98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</row>
    <row r="22" spans="2:55" x14ac:dyDescent="0.25">
      <c r="B22" s="201">
        <v>11750000</v>
      </c>
      <c r="C22" s="83">
        <v>21250000</v>
      </c>
      <c r="D22" s="83">
        <v>28750000</v>
      </c>
      <c r="E22" s="83">
        <v>18750000</v>
      </c>
      <c r="F22" s="83">
        <v>17250000</v>
      </c>
      <c r="G22" s="83">
        <v>16500000</v>
      </c>
      <c r="H22" s="83">
        <v>11500000</v>
      </c>
      <c r="I22" s="83">
        <v>7750000</v>
      </c>
      <c r="J22" s="83">
        <v>26750000</v>
      </c>
      <c r="K22" s="83">
        <v>20250000</v>
      </c>
      <c r="L22" s="206">
        <v>28250000</v>
      </c>
      <c r="O22" s="84"/>
      <c r="P22" s="90"/>
      <c r="Q22" s="165"/>
      <c r="R22" s="165"/>
      <c r="S22" s="96"/>
      <c r="T22" s="96"/>
      <c r="U22" s="96"/>
      <c r="V22" s="96"/>
      <c r="W22" s="134"/>
      <c r="X22" s="96"/>
      <c r="Y22" s="96"/>
      <c r="Z22" s="96"/>
      <c r="AA22" s="165"/>
      <c r="AB22" s="165"/>
      <c r="AC22" s="165"/>
      <c r="AD22" s="96"/>
      <c r="AE22" s="96"/>
      <c r="AF22" s="113"/>
      <c r="AG22" s="113"/>
      <c r="AH22" s="113"/>
      <c r="AI22" s="165"/>
      <c r="AJ22" s="165"/>
      <c r="AK22" s="165"/>
      <c r="AL22" s="165"/>
      <c r="AM22" s="165"/>
      <c r="AN22" s="165"/>
      <c r="AO22" s="165"/>
      <c r="AP22" s="165"/>
      <c r="AQ22" s="96"/>
      <c r="AR22" s="98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</row>
    <row r="23" spans="2:55" x14ac:dyDescent="0.25">
      <c r="B23" s="202">
        <v>14000000</v>
      </c>
      <c r="C23" s="203">
        <v>11000000</v>
      </c>
      <c r="D23" s="203">
        <v>21750000</v>
      </c>
      <c r="E23" s="203">
        <v>21000000</v>
      </c>
      <c r="F23" s="203">
        <v>19750000</v>
      </c>
      <c r="G23" s="203">
        <v>20250000</v>
      </c>
      <c r="H23" s="203">
        <v>9250000</v>
      </c>
      <c r="I23" s="203">
        <v>12250000</v>
      </c>
      <c r="J23" s="203">
        <v>20750000</v>
      </c>
      <c r="K23" s="203">
        <v>24250000</v>
      </c>
      <c r="L23" s="204">
        <v>17500000</v>
      </c>
      <c r="O23" s="84"/>
      <c r="P23" s="90"/>
      <c r="Q23" s="165"/>
      <c r="R23" s="165"/>
      <c r="S23" s="96"/>
      <c r="T23" s="96"/>
      <c r="U23" s="96"/>
      <c r="V23" s="96"/>
      <c r="W23" s="165"/>
      <c r="X23" s="96"/>
      <c r="Y23" s="96"/>
      <c r="Z23" s="96"/>
      <c r="AA23" s="165"/>
      <c r="AB23" s="165"/>
      <c r="AC23" s="165"/>
      <c r="AD23" s="96"/>
      <c r="AE23" s="96"/>
      <c r="AF23" s="113"/>
      <c r="AG23" s="113"/>
      <c r="AH23" s="113"/>
      <c r="AI23" s="165"/>
      <c r="AJ23" s="165"/>
      <c r="AK23" s="165"/>
      <c r="AL23" s="165"/>
      <c r="AM23" s="165"/>
      <c r="AN23" s="165"/>
      <c r="AO23" s="165"/>
      <c r="AP23" s="165"/>
      <c r="AQ23" s="96"/>
      <c r="AR23" s="98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</row>
    <row r="24" spans="2:55" x14ac:dyDescent="0.25">
      <c r="B24" s="96"/>
      <c r="C24" s="96"/>
      <c r="D24" s="96"/>
      <c r="E24" s="83"/>
      <c r="F24" s="96"/>
      <c r="G24" s="96"/>
      <c r="H24" s="96"/>
      <c r="I24" s="96"/>
      <c r="J24" s="165"/>
      <c r="K24" s="96"/>
      <c r="L24" s="96"/>
      <c r="M24" s="96"/>
      <c r="N24" s="96"/>
      <c r="O24" s="83"/>
      <c r="P24" s="90"/>
      <c r="Q24" s="165"/>
      <c r="R24" s="165"/>
      <c r="S24" s="96"/>
      <c r="T24" s="96"/>
      <c r="U24" s="96"/>
      <c r="V24" s="96"/>
      <c r="W24" s="134"/>
      <c r="X24" s="96"/>
      <c r="Y24" s="96"/>
      <c r="Z24" s="96"/>
      <c r="AA24" s="165"/>
      <c r="AB24" s="165"/>
      <c r="AC24" s="165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8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</row>
    <row r="25" spans="2:55" x14ac:dyDescent="0.25">
      <c r="B25" s="96"/>
      <c r="C25" s="96"/>
      <c r="D25" s="96"/>
      <c r="E25" s="96"/>
      <c r="F25" s="96"/>
      <c r="G25" s="96"/>
      <c r="H25" s="83"/>
      <c r="I25" s="96"/>
      <c r="J25" s="165"/>
      <c r="K25" s="96"/>
      <c r="L25" s="96"/>
      <c r="M25" s="96"/>
      <c r="N25" s="96"/>
      <c r="O25" s="83"/>
      <c r="P25" s="90"/>
      <c r="Q25" s="165"/>
      <c r="R25" s="165"/>
      <c r="S25" s="96"/>
      <c r="T25" s="96"/>
      <c r="U25" s="96"/>
      <c r="V25" s="96"/>
      <c r="W25" s="134"/>
      <c r="X25" s="96"/>
      <c r="Y25" s="96"/>
      <c r="Z25" s="96"/>
      <c r="AA25" s="165"/>
      <c r="AB25" s="165"/>
      <c r="AC25" s="165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8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</row>
    <row r="26" spans="2:55" x14ac:dyDescent="0.25">
      <c r="B26" s="96"/>
      <c r="C26" s="96"/>
      <c r="D26" s="96"/>
      <c r="E26" s="96"/>
      <c r="F26" s="96"/>
      <c r="G26" s="96"/>
      <c r="H26" s="96"/>
      <c r="I26" s="96"/>
      <c r="J26" s="165"/>
      <c r="K26" s="96"/>
      <c r="L26" s="96"/>
      <c r="M26" s="96"/>
      <c r="N26" s="96"/>
      <c r="O26" s="83"/>
      <c r="P26" s="90"/>
      <c r="Q26" s="165"/>
      <c r="R26" s="165"/>
      <c r="S26" s="96"/>
      <c r="T26" s="96"/>
      <c r="U26" s="96"/>
      <c r="V26" s="96"/>
      <c r="W26" s="134"/>
      <c r="X26" s="96"/>
      <c r="Y26" s="96"/>
      <c r="Z26" s="96"/>
      <c r="AA26" s="165"/>
      <c r="AB26" s="165"/>
      <c r="AC26" s="165"/>
      <c r="AD26" s="96"/>
      <c r="AE26" s="96"/>
      <c r="AR26" s="12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</row>
    <row r="27" spans="2:55" x14ac:dyDescent="0.25">
      <c r="B27" s="83"/>
      <c r="C27" s="96"/>
      <c r="D27" s="96"/>
      <c r="E27" s="96"/>
      <c r="F27" s="96"/>
      <c r="G27" s="96"/>
      <c r="H27" s="96"/>
      <c r="I27" s="96"/>
      <c r="J27" s="165"/>
      <c r="K27" s="96"/>
      <c r="L27" s="96"/>
      <c r="M27" s="96"/>
      <c r="N27" s="96"/>
      <c r="O27" s="83"/>
      <c r="P27" s="90"/>
      <c r="Q27" s="165"/>
      <c r="R27" s="165"/>
      <c r="S27" s="96"/>
      <c r="T27" s="96"/>
      <c r="U27" s="96"/>
      <c r="V27" s="96"/>
      <c r="W27" s="134"/>
      <c r="X27" s="96"/>
      <c r="Y27" s="96"/>
      <c r="Z27" s="96"/>
      <c r="AA27" s="165"/>
      <c r="AB27" s="165"/>
      <c r="AC27" s="165"/>
      <c r="AD27" s="96"/>
      <c r="AE27" s="96"/>
      <c r="AR27" s="98"/>
      <c r="AS27" s="99"/>
      <c r="AT27" s="96"/>
      <c r="AU27" s="95"/>
      <c r="AV27" s="95"/>
      <c r="AW27" s="95"/>
      <c r="AX27" s="95"/>
      <c r="AY27" s="95"/>
      <c r="AZ27" s="95"/>
      <c r="BA27" s="95"/>
      <c r="BB27" s="95"/>
      <c r="BC27" s="95"/>
    </row>
    <row r="28" spans="2:55" x14ac:dyDescent="0.25">
      <c r="B28" s="96"/>
      <c r="C28" s="83"/>
      <c r="D28" s="96"/>
      <c r="E28" s="96"/>
      <c r="F28" s="83"/>
      <c r="G28" s="96"/>
      <c r="H28" s="96"/>
      <c r="I28" s="96"/>
      <c r="J28" s="165"/>
      <c r="K28" s="96"/>
      <c r="L28" s="96"/>
      <c r="M28" s="96"/>
      <c r="N28" s="96"/>
      <c r="O28" s="83"/>
      <c r="P28" s="90"/>
      <c r="Q28" s="165"/>
      <c r="R28" s="165"/>
      <c r="S28" s="96"/>
      <c r="T28" s="96"/>
      <c r="U28" s="96"/>
      <c r="V28" s="96"/>
      <c r="W28" s="165"/>
      <c r="X28" s="96"/>
      <c r="Y28" s="96"/>
      <c r="Z28" s="96"/>
      <c r="AA28" s="165"/>
      <c r="AB28" s="165"/>
      <c r="AC28" s="165"/>
      <c r="AD28" s="96"/>
      <c r="AE28" s="96"/>
      <c r="AR28" s="98"/>
      <c r="AS28" s="99"/>
      <c r="AT28" s="96"/>
      <c r="AU28" s="95"/>
      <c r="AV28" s="95"/>
      <c r="AW28" s="95"/>
      <c r="AX28" s="95"/>
      <c r="AY28" s="95"/>
      <c r="AZ28" s="95"/>
      <c r="BA28" s="95"/>
      <c r="BB28" s="95"/>
      <c r="BC28" s="95"/>
    </row>
    <row r="29" spans="2:55" x14ac:dyDescent="0.25">
      <c r="B29" s="83"/>
      <c r="C29" s="96"/>
      <c r="D29" s="96"/>
      <c r="E29" s="96"/>
      <c r="F29" s="83"/>
      <c r="G29" s="96"/>
      <c r="H29" s="96"/>
      <c r="I29" s="96"/>
      <c r="J29" s="165"/>
      <c r="K29" s="96"/>
      <c r="L29" s="96"/>
      <c r="M29" s="96"/>
      <c r="N29" s="96"/>
      <c r="O29" s="83"/>
      <c r="P29" s="90"/>
      <c r="Q29" s="165"/>
      <c r="R29" s="165"/>
      <c r="S29" s="165"/>
      <c r="T29" s="165"/>
      <c r="U29" s="165"/>
      <c r="V29" s="165"/>
      <c r="W29" s="165"/>
      <c r="X29" s="96"/>
      <c r="Y29" s="96"/>
      <c r="Z29" s="96"/>
      <c r="AA29" s="165"/>
      <c r="AB29" s="165"/>
      <c r="AC29" s="165"/>
      <c r="AD29" s="96"/>
      <c r="AE29" s="9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</row>
    <row r="30" spans="2:55" x14ac:dyDescent="0.25">
      <c r="B30" s="83"/>
      <c r="C30" s="96"/>
      <c r="D30" s="96"/>
      <c r="E30" s="83"/>
      <c r="F30" s="83"/>
      <c r="G30" s="83"/>
      <c r="H30" s="96"/>
      <c r="I30" s="96"/>
      <c r="J30" s="165"/>
      <c r="K30" s="96"/>
      <c r="L30" s="96"/>
      <c r="M30" s="96"/>
      <c r="N30" s="96"/>
      <c r="O30" s="83"/>
      <c r="Q30" s="165"/>
      <c r="R30" s="165"/>
      <c r="S30" s="165"/>
      <c r="T30" s="165"/>
      <c r="U30" s="165"/>
      <c r="V30" s="165"/>
      <c r="W30" s="165"/>
      <c r="X30" s="165"/>
      <c r="Y30" s="96"/>
      <c r="Z30" s="96"/>
      <c r="AA30" s="165"/>
      <c r="AB30" s="165"/>
      <c r="AC30" s="165"/>
      <c r="AD30" s="96"/>
      <c r="AE30" s="96"/>
      <c r="AR30" s="98"/>
      <c r="AS30" s="99"/>
      <c r="AT30" s="96"/>
      <c r="AU30" s="95"/>
      <c r="AV30" s="95"/>
      <c r="AW30" s="95"/>
      <c r="AX30" s="95"/>
      <c r="AY30" s="95"/>
      <c r="AZ30" s="95"/>
      <c r="BA30" s="95"/>
      <c r="BB30" s="95"/>
      <c r="BC30" s="95"/>
    </row>
    <row r="31" spans="2:55" x14ac:dyDescent="0.25">
      <c r="B31" s="83"/>
      <c r="C31" s="96"/>
      <c r="D31" s="96"/>
      <c r="E31" s="83"/>
      <c r="F31" s="83"/>
      <c r="G31" s="83"/>
      <c r="H31" s="96"/>
      <c r="I31" s="96"/>
      <c r="J31" s="165"/>
      <c r="K31" s="96"/>
      <c r="L31" s="96"/>
      <c r="M31" s="96"/>
      <c r="N31" s="96"/>
      <c r="O31" s="83"/>
      <c r="Q31" s="165"/>
      <c r="R31" s="165"/>
      <c r="S31" s="165"/>
      <c r="T31" s="165"/>
      <c r="U31" s="165"/>
      <c r="V31" s="165"/>
      <c r="W31" s="165"/>
      <c r="X31" s="165"/>
      <c r="Y31" s="96"/>
      <c r="Z31" s="96"/>
      <c r="AA31" s="165"/>
      <c r="AB31" s="165"/>
      <c r="AC31" s="165"/>
      <c r="AD31" s="96"/>
      <c r="AE31" s="96"/>
      <c r="AR31" s="98"/>
      <c r="AS31" s="99"/>
      <c r="AT31" s="96"/>
      <c r="AU31" s="95"/>
      <c r="AV31" s="95"/>
      <c r="AW31" s="95"/>
      <c r="AX31" s="95"/>
      <c r="AY31" s="95"/>
      <c r="AZ31" s="95"/>
      <c r="BA31" s="95"/>
      <c r="BB31" s="95"/>
      <c r="BC31" s="95"/>
    </row>
    <row r="32" spans="2:55" x14ac:dyDescent="0.25">
      <c r="B32" s="83"/>
      <c r="C32" s="96"/>
      <c r="D32" s="96"/>
      <c r="E32" s="83"/>
      <c r="F32" s="83"/>
      <c r="G32" s="83"/>
      <c r="H32" s="83"/>
      <c r="I32" s="96"/>
      <c r="J32" s="165"/>
      <c r="K32" s="96"/>
      <c r="L32" s="96"/>
      <c r="M32" s="96"/>
      <c r="N32" s="96"/>
      <c r="O32" s="83"/>
      <c r="Q32" s="165"/>
      <c r="R32" s="165"/>
      <c r="S32" s="165"/>
      <c r="T32" s="165"/>
      <c r="U32" s="165"/>
      <c r="V32" s="165"/>
      <c r="W32" s="165"/>
      <c r="X32" s="165"/>
      <c r="Y32" s="165"/>
      <c r="Z32" s="96"/>
      <c r="AA32" s="165"/>
      <c r="AB32" s="165"/>
      <c r="AC32" s="165"/>
      <c r="AD32" s="96"/>
      <c r="AE32" s="96"/>
      <c r="AR32" s="98"/>
      <c r="AS32" s="99"/>
      <c r="AT32" s="96"/>
      <c r="AU32" s="95"/>
      <c r="AV32" s="95"/>
      <c r="AW32" s="95"/>
      <c r="AX32" s="95"/>
      <c r="AY32" s="95"/>
      <c r="AZ32" s="95"/>
      <c r="BA32" s="95"/>
      <c r="BB32" s="95"/>
      <c r="BC32" s="95"/>
    </row>
    <row r="33" spans="2:55" x14ac:dyDescent="0.25">
      <c r="B33" s="83"/>
      <c r="C33" s="96"/>
      <c r="D33" s="96"/>
      <c r="E33" s="83"/>
      <c r="F33" s="83"/>
      <c r="G33" s="83"/>
      <c r="H33" s="83"/>
      <c r="I33" s="96"/>
      <c r="J33" s="165"/>
      <c r="K33" s="96"/>
      <c r="L33" s="96"/>
      <c r="M33" s="96"/>
      <c r="N33" s="96"/>
      <c r="O33" s="83"/>
      <c r="Q33" s="165"/>
      <c r="R33" s="165"/>
      <c r="S33" s="165"/>
      <c r="T33" s="165"/>
      <c r="U33" s="165"/>
      <c r="V33" s="165"/>
      <c r="W33" s="165"/>
      <c r="X33" s="165"/>
      <c r="Y33" s="165"/>
      <c r="Z33" s="96"/>
      <c r="AA33" s="165"/>
      <c r="AB33" s="165"/>
      <c r="AC33" s="165"/>
      <c r="AD33" s="96"/>
      <c r="AE33" s="96"/>
      <c r="AR33" s="98"/>
      <c r="AS33" s="99"/>
      <c r="AT33" s="96"/>
      <c r="AU33" s="95"/>
      <c r="AV33" s="95"/>
      <c r="AW33" s="95"/>
      <c r="AX33" s="95"/>
      <c r="AY33" s="95"/>
      <c r="AZ33" s="95"/>
      <c r="BA33" s="95"/>
      <c r="BB33" s="95"/>
      <c r="BC33" s="95"/>
    </row>
    <row r="34" spans="2:55" x14ac:dyDescent="0.25">
      <c r="B34" s="83"/>
      <c r="C34" s="96"/>
      <c r="D34" s="96"/>
      <c r="E34" s="83"/>
      <c r="F34" s="83"/>
      <c r="G34" s="83"/>
      <c r="H34" s="83"/>
      <c r="I34" s="96"/>
      <c r="J34" s="165"/>
      <c r="K34" s="96"/>
      <c r="L34" s="83"/>
      <c r="M34" s="83"/>
      <c r="N34" s="83"/>
      <c r="O34" s="83"/>
      <c r="Q34" s="165"/>
      <c r="R34" s="165"/>
      <c r="S34" s="165"/>
      <c r="T34" s="165"/>
      <c r="U34" s="165"/>
      <c r="V34" s="165"/>
      <c r="W34" s="165"/>
      <c r="X34" s="165"/>
      <c r="Y34" s="165"/>
      <c r="Z34" s="96"/>
      <c r="AA34" s="165"/>
      <c r="AB34" s="165"/>
      <c r="AC34" s="165"/>
      <c r="AD34" s="96"/>
      <c r="AE34" s="96"/>
      <c r="AR34" s="98"/>
      <c r="AS34" s="99"/>
      <c r="AT34" s="96"/>
      <c r="AU34" s="95"/>
      <c r="AV34" s="95"/>
      <c r="AW34" s="95"/>
      <c r="AX34" s="95"/>
      <c r="AY34" s="95"/>
      <c r="AZ34" s="95"/>
      <c r="BA34" s="95"/>
      <c r="BB34" s="95"/>
      <c r="BC34" s="95"/>
    </row>
    <row r="35" spans="2:55" x14ac:dyDescent="0.25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R35" s="98"/>
      <c r="AS35" s="99"/>
      <c r="AT35" s="96"/>
      <c r="AU35" s="95"/>
      <c r="AV35" s="95"/>
      <c r="AW35" s="95"/>
      <c r="AX35" s="95"/>
      <c r="AY35" s="95"/>
      <c r="AZ35" s="95"/>
      <c r="BA35" s="95"/>
      <c r="BB35" s="95"/>
      <c r="BC35" s="95"/>
    </row>
    <row r="36" spans="2:55" x14ac:dyDescent="0.25"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R36" s="98"/>
      <c r="AS36" s="99"/>
      <c r="AT36" s="96"/>
      <c r="AU36" s="95"/>
      <c r="AV36" s="95"/>
      <c r="AW36" s="95"/>
      <c r="AX36" s="95"/>
      <c r="AY36" s="95"/>
      <c r="AZ36" s="95"/>
      <c r="BA36" s="95"/>
      <c r="BB36" s="95"/>
      <c r="BC36" s="95"/>
    </row>
    <row r="37" spans="2:55" x14ac:dyDescent="0.25"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R37" s="98"/>
      <c r="AS37" s="99"/>
      <c r="AT37" s="96"/>
      <c r="AU37" s="95"/>
      <c r="AV37" s="95"/>
      <c r="AW37" s="95"/>
      <c r="AX37" s="95"/>
      <c r="AY37" s="95"/>
      <c r="AZ37" s="95"/>
      <c r="BA37" s="95"/>
      <c r="BB37" s="95"/>
      <c r="BC37" s="95"/>
    </row>
    <row r="38" spans="2:55" x14ac:dyDescent="0.25">
      <c r="AR38" s="98"/>
      <c r="AS38" s="99"/>
      <c r="AT38" s="96"/>
      <c r="AU38" s="95"/>
      <c r="AV38" s="95"/>
      <c r="AW38" s="95"/>
      <c r="AX38" s="95"/>
      <c r="AY38" s="95"/>
      <c r="AZ38" s="95"/>
      <c r="BA38" s="95"/>
      <c r="BB38" s="95"/>
      <c r="BC38" s="95"/>
    </row>
    <row r="39" spans="2:55" x14ac:dyDescent="0.25">
      <c r="AR39" s="98"/>
      <c r="AS39" s="99"/>
      <c r="AT39" s="96"/>
      <c r="AU39" s="95"/>
      <c r="AV39" s="95"/>
      <c r="AW39" s="95"/>
      <c r="AX39" s="95"/>
      <c r="AY39" s="95"/>
      <c r="AZ39" s="95"/>
      <c r="BA39" s="95"/>
      <c r="BB39" s="95"/>
      <c r="BC39" s="95"/>
    </row>
    <row r="40" spans="2:55" x14ac:dyDescent="0.25"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</row>
    <row r="41" spans="2:55" x14ac:dyDescent="0.25">
      <c r="AR41" s="126"/>
      <c r="AS41" s="113"/>
      <c r="AT41" s="113"/>
      <c r="AU41" s="113"/>
      <c r="AV41" s="113"/>
      <c r="AW41" s="113"/>
      <c r="AX41" s="95"/>
      <c r="AY41" s="95"/>
      <c r="AZ41" s="95"/>
      <c r="BA41" s="95"/>
      <c r="BB41" s="95"/>
      <c r="BC41" s="95"/>
    </row>
    <row r="42" spans="2:55" x14ac:dyDescent="0.25">
      <c r="AR42" s="126"/>
      <c r="AS42" s="113"/>
      <c r="AT42" s="113"/>
      <c r="AU42" s="113"/>
      <c r="AV42" s="113"/>
      <c r="AW42" s="113"/>
      <c r="AX42" s="95"/>
      <c r="AY42" s="95"/>
      <c r="AZ42" s="95"/>
      <c r="BA42" s="95"/>
      <c r="BB42" s="95"/>
      <c r="BC42" s="95"/>
    </row>
    <row r="43" spans="2:55" x14ac:dyDescent="0.25">
      <c r="AR43" s="126"/>
      <c r="AS43" s="113"/>
      <c r="AT43" s="113"/>
      <c r="AU43" s="113"/>
      <c r="AV43" s="113"/>
      <c r="AW43" s="113"/>
      <c r="AX43" s="95"/>
      <c r="AY43" s="95"/>
      <c r="AZ43" s="95"/>
      <c r="BA43" s="95"/>
      <c r="BB43" s="95"/>
      <c r="BC43" s="95"/>
    </row>
    <row r="44" spans="2:55" x14ac:dyDescent="0.25">
      <c r="AR44" s="113"/>
      <c r="AS44" s="113"/>
      <c r="AT44" s="113"/>
      <c r="AU44" s="113"/>
      <c r="AV44" s="113"/>
      <c r="AW44" s="113"/>
      <c r="AX44" s="95"/>
      <c r="AY44" s="95"/>
      <c r="AZ44" s="95"/>
      <c r="BA44" s="95"/>
      <c r="BB44" s="95"/>
      <c r="BC44" s="95"/>
    </row>
    <row r="45" spans="2:55" x14ac:dyDescent="0.25">
      <c r="AR45" s="113"/>
      <c r="AS45" s="113"/>
      <c r="AT45" s="113"/>
      <c r="AU45" s="113"/>
      <c r="AV45" s="113"/>
      <c r="AW45" s="113"/>
      <c r="AX45" s="95"/>
      <c r="AY45" s="95"/>
      <c r="AZ45" s="95"/>
      <c r="BA45" s="95"/>
      <c r="BB45" s="95"/>
      <c r="BC45" s="95"/>
    </row>
    <row r="46" spans="2:55" x14ac:dyDescent="0.25">
      <c r="AR46" s="113"/>
      <c r="AS46" s="113"/>
      <c r="AT46" s="113"/>
      <c r="AU46" s="113"/>
      <c r="AV46" s="113"/>
      <c r="AW46" s="113"/>
      <c r="AX46" s="95"/>
      <c r="AY46" s="95"/>
      <c r="AZ46" s="95"/>
      <c r="BA46" s="95"/>
      <c r="BB46" s="95"/>
      <c r="BC46" s="95"/>
    </row>
    <row r="47" spans="2:55" x14ac:dyDescent="0.25">
      <c r="AR47" s="113"/>
      <c r="AS47" s="113"/>
      <c r="AT47" s="113"/>
      <c r="AU47" s="113"/>
      <c r="AV47" s="113"/>
      <c r="AW47" s="113"/>
      <c r="AX47" s="95"/>
      <c r="AY47" s="95"/>
      <c r="AZ47" s="95"/>
      <c r="BA47" s="95"/>
      <c r="BB47" s="95"/>
      <c r="BC47" s="95"/>
    </row>
    <row r="48" spans="2:55" x14ac:dyDescent="0.25">
      <c r="AR48" s="113"/>
      <c r="AS48" s="113"/>
      <c r="AT48" s="113"/>
      <c r="AU48" s="113"/>
      <c r="AV48" s="113"/>
      <c r="AW48" s="113"/>
      <c r="AX48" s="95"/>
      <c r="AY48" s="95"/>
      <c r="AZ48" s="95"/>
      <c r="BA48" s="95"/>
      <c r="BB48" s="95"/>
      <c r="BC48" s="95"/>
    </row>
    <row r="49" spans="44:55" x14ac:dyDescent="0.25">
      <c r="AR49" s="113"/>
      <c r="AS49" s="113"/>
      <c r="AT49" s="113"/>
      <c r="AU49" s="113"/>
      <c r="AV49" s="113"/>
      <c r="AW49" s="113"/>
      <c r="AX49" s="95"/>
      <c r="AY49" s="95"/>
      <c r="AZ49" s="95"/>
      <c r="BA49" s="95"/>
      <c r="BB49" s="95"/>
      <c r="BC49" s="95"/>
    </row>
    <row r="50" spans="44:55" x14ac:dyDescent="0.25">
      <c r="AR50" s="113"/>
      <c r="AS50" s="113"/>
      <c r="AT50" s="113"/>
      <c r="AU50" s="113"/>
      <c r="AV50" s="113"/>
      <c r="AW50" s="113"/>
      <c r="AX50" s="95"/>
      <c r="AY50" s="95"/>
      <c r="AZ50" s="95"/>
      <c r="BA50" s="95"/>
      <c r="BB50" s="95"/>
      <c r="BC50" s="95"/>
    </row>
    <row r="51" spans="44:55" x14ac:dyDescent="0.25">
      <c r="AR51" s="113"/>
      <c r="AS51" s="113"/>
      <c r="AT51" s="113"/>
      <c r="AU51" s="113"/>
      <c r="AV51" s="113"/>
      <c r="AW51" s="113"/>
      <c r="AX51" s="95"/>
      <c r="AY51" s="95"/>
      <c r="AZ51" s="95"/>
      <c r="BA51" s="95"/>
      <c r="BB51" s="95"/>
      <c r="BC51" s="95"/>
    </row>
    <row r="52" spans="44:55" x14ac:dyDescent="0.25">
      <c r="AR52" s="113"/>
      <c r="AS52" s="113"/>
      <c r="AT52" s="113"/>
      <c r="AU52" s="113"/>
      <c r="AV52" s="113"/>
      <c r="AW52" s="113"/>
      <c r="AX52" s="95"/>
      <c r="AY52" s="95"/>
      <c r="AZ52" s="95"/>
      <c r="BA52" s="95"/>
      <c r="BB52" s="95"/>
      <c r="BC52" s="95"/>
    </row>
    <row r="53" spans="44:55" x14ac:dyDescent="0.25">
      <c r="AR53" s="113"/>
      <c r="AS53" s="113"/>
      <c r="AT53" s="113"/>
      <c r="AU53" s="113"/>
      <c r="AV53" s="113"/>
      <c r="AW53" s="113"/>
      <c r="AX53" s="95"/>
      <c r="AY53" s="95"/>
      <c r="AZ53" s="95"/>
      <c r="BA53" s="95"/>
      <c r="BB53" s="95"/>
      <c r="BC53" s="95"/>
    </row>
    <row r="54" spans="44:55" x14ac:dyDescent="0.25">
      <c r="AR54" s="113"/>
      <c r="AS54" s="113"/>
      <c r="AT54" s="113"/>
      <c r="AU54" s="113"/>
      <c r="AV54" s="113"/>
      <c r="AW54" s="113"/>
      <c r="AX54" s="95"/>
      <c r="AY54" s="95"/>
      <c r="AZ54" s="95"/>
      <c r="BA54" s="95"/>
      <c r="BB54" s="95"/>
      <c r="BC54" s="95"/>
    </row>
    <row r="55" spans="44:55" x14ac:dyDescent="0.25">
      <c r="AR55" s="113"/>
      <c r="AS55" s="113"/>
      <c r="AT55" s="113"/>
      <c r="AU55" s="113"/>
      <c r="AV55" s="113"/>
      <c r="AW55" s="113"/>
      <c r="AX55" s="95"/>
      <c r="AY55" s="95"/>
      <c r="AZ55" s="95"/>
      <c r="BA55" s="95"/>
      <c r="BB55" s="95"/>
      <c r="BC55" s="95"/>
    </row>
    <row r="56" spans="44:55" x14ac:dyDescent="0.25">
      <c r="AR56" s="113"/>
      <c r="AS56" s="113"/>
      <c r="AT56" s="113"/>
      <c r="AU56" s="113"/>
      <c r="AV56" s="113"/>
      <c r="AW56" s="113"/>
      <c r="AX56" s="95"/>
      <c r="AY56" s="95"/>
      <c r="AZ56" s="95"/>
      <c r="BA56" s="95"/>
      <c r="BB56" s="95"/>
      <c r="BC56" s="95"/>
    </row>
    <row r="57" spans="44:55" x14ac:dyDescent="0.25">
      <c r="AR57" s="113"/>
      <c r="AS57" s="113"/>
      <c r="AT57" s="113"/>
      <c r="AU57" s="113"/>
      <c r="AV57" s="113"/>
      <c r="AW57" s="113"/>
      <c r="AX57" s="95"/>
      <c r="AY57" s="95"/>
      <c r="AZ57" s="95"/>
      <c r="BA57" s="95"/>
      <c r="BB57" s="95"/>
      <c r="BC57" s="95"/>
    </row>
    <row r="58" spans="44:55" x14ac:dyDescent="0.25">
      <c r="AR58" s="113"/>
      <c r="AS58" s="113"/>
      <c r="AT58" s="113"/>
      <c r="AU58" s="113"/>
      <c r="AV58" s="113"/>
      <c r="AW58" s="113"/>
      <c r="AX58" s="95"/>
      <c r="AY58" s="95"/>
      <c r="AZ58" s="95"/>
      <c r="BA58" s="95"/>
      <c r="BB58" s="95"/>
      <c r="BC58" s="95"/>
    </row>
    <row r="59" spans="44:55" x14ac:dyDescent="0.25">
      <c r="AR59" s="113"/>
      <c r="AS59" s="113"/>
      <c r="AT59" s="113"/>
      <c r="AU59" s="113"/>
      <c r="AV59" s="113"/>
      <c r="AW59" s="113"/>
      <c r="AX59" s="95"/>
      <c r="AY59" s="95"/>
      <c r="AZ59" s="95"/>
      <c r="BA59" s="95"/>
      <c r="BB59" s="95"/>
      <c r="BC59" s="95"/>
    </row>
    <row r="60" spans="44:55" x14ac:dyDescent="0.25">
      <c r="AR60" s="113"/>
      <c r="AS60" s="113"/>
      <c r="AT60" s="113"/>
      <c r="AU60" s="113"/>
      <c r="AV60" s="113"/>
      <c r="AW60" s="113"/>
      <c r="AX60" s="95"/>
      <c r="AY60" s="95"/>
      <c r="AZ60" s="95"/>
      <c r="BA60" s="95"/>
      <c r="BB60" s="95"/>
      <c r="BC60" s="95"/>
    </row>
    <row r="61" spans="44:55" x14ac:dyDescent="0.25">
      <c r="AR61" s="113"/>
      <c r="AS61" s="113"/>
      <c r="AT61" s="113"/>
      <c r="AU61" s="113"/>
      <c r="AV61" s="113"/>
      <c r="AW61" s="113"/>
      <c r="AX61" s="95"/>
      <c r="AY61" s="95"/>
      <c r="AZ61" s="95"/>
      <c r="BA61" s="95"/>
      <c r="BB61" s="95"/>
      <c r="BC61" s="95"/>
    </row>
    <row r="62" spans="44:55" x14ac:dyDescent="0.25">
      <c r="AR62" s="113"/>
      <c r="AS62" s="113"/>
      <c r="AT62" s="113"/>
      <c r="AU62" s="113"/>
      <c r="AV62" s="113"/>
      <c r="AW62" s="113"/>
      <c r="AX62" s="95"/>
      <c r="AY62" s="95"/>
      <c r="AZ62" s="95"/>
      <c r="BA62" s="95"/>
      <c r="BB62" s="95"/>
      <c r="BC62" s="95"/>
    </row>
    <row r="63" spans="44:55" x14ac:dyDescent="0.25">
      <c r="AR63" s="113"/>
      <c r="AS63" s="113"/>
      <c r="AT63" s="113"/>
      <c r="AU63" s="113"/>
      <c r="AV63" s="113"/>
      <c r="AW63" s="113"/>
      <c r="AX63" s="95"/>
      <c r="AY63" s="95"/>
      <c r="AZ63" s="95"/>
      <c r="BA63" s="95"/>
      <c r="BB63" s="95"/>
      <c r="BC63" s="95"/>
    </row>
    <row r="64" spans="44:55" x14ac:dyDescent="0.25">
      <c r="AR64" s="113"/>
      <c r="AS64" s="113"/>
      <c r="AT64" s="113"/>
      <c r="AU64" s="113"/>
      <c r="AV64" s="113"/>
      <c r="AW64" s="113"/>
      <c r="AX64" s="95"/>
      <c r="AY64" s="95"/>
      <c r="AZ64" s="95"/>
      <c r="BA64" s="95"/>
      <c r="BB64" s="95"/>
      <c r="BC64" s="95"/>
    </row>
    <row r="65" spans="44:55" x14ac:dyDescent="0.25">
      <c r="AR65" s="113"/>
      <c r="AS65" s="113"/>
      <c r="AT65" s="113"/>
      <c r="AU65" s="113"/>
      <c r="AV65" s="113"/>
      <c r="AW65" s="113"/>
      <c r="AX65" s="95"/>
      <c r="AY65" s="95"/>
      <c r="AZ65" s="95"/>
      <c r="BA65" s="95"/>
      <c r="BB65" s="95"/>
      <c r="BC65" s="95"/>
    </row>
    <row r="66" spans="44:55" x14ac:dyDescent="0.25">
      <c r="AR66" s="113"/>
      <c r="AS66" s="113"/>
      <c r="AT66" s="113"/>
      <c r="AU66" s="113"/>
      <c r="AV66" s="113"/>
      <c r="AW66" s="113"/>
      <c r="AX66" s="95"/>
      <c r="AY66" s="95"/>
      <c r="AZ66" s="95"/>
      <c r="BA66" s="95"/>
      <c r="BB66" s="95"/>
      <c r="BC66" s="95"/>
    </row>
    <row r="67" spans="44:55" x14ac:dyDescent="0.25">
      <c r="AR67" s="113"/>
      <c r="AS67" s="113"/>
      <c r="AT67" s="113"/>
      <c r="AU67" s="113"/>
      <c r="AV67" s="113"/>
      <c r="AW67" s="113"/>
      <c r="AX67" s="95"/>
      <c r="AY67" s="95"/>
      <c r="AZ67" s="95"/>
      <c r="BA67" s="95"/>
      <c r="BB67" s="95"/>
      <c r="BC67" s="95"/>
    </row>
    <row r="68" spans="44:55" x14ac:dyDescent="0.25">
      <c r="AR68" s="113"/>
      <c r="AS68" s="113"/>
      <c r="AT68" s="113"/>
      <c r="AU68" s="113"/>
      <c r="AV68" s="113"/>
      <c r="AW68" s="113"/>
      <c r="AX68" s="95"/>
      <c r="AY68" s="95"/>
      <c r="AZ68" s="95"/>
      <c r="BA68" s="95"/>
      <c r="BB68" s="95"/>
      <c r="BC68" s="95"/>
    </row>
    <row r="69" spans="44:55" x14ac:dyDescent="0.25">
      <c r="AR69" s="113"/>
      <c r="AS69" s="113"/>
      <c r="AT69" s="113"/>
      <c r="AU69" s="113"/>
      <c r="AV69" s="113"/>
      <c r="AW69" s="113"/>
      <c r="AX69" s="95"/>
      <c r="AY69" s="95"/>
      <c r="AZ69" s="95"/>
      <c r="BA69" s="95"/>
      <c r="BB69" s="95"/>
      <c r="BC69" s="95"/>
    </row>
    <row r="70" spans="44:55" x14ac:dyDescent="0.25">
      <c r="AR70" s="113"/>
      <c r="AS70" s="113"/>
      <c r="AT70" s="113"/>
      <c r="AU70" s="113"/>
      <c r="AV70" s="113"/>
      <c r="AW70" s="113"/>
      <c r="AX70" s="95"/>
      <c r="AY70" s="95"/>
      <c r="AZ70" s="95"/>
      <c r="BA70" s="95"/>
      <c r="BB70" s="95"/>
      <c r="BC70" s="95"/>
    </row>
    <row r="71" spans="44:55" x14ac:dyDescent="0.25"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</row>
  </sheetData>
  <mergeCells count="1">
    <mergeCell ref="B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C9D2-41C0-4366-B39F-5A75FEA49376}">
  <dimension ref="A1:BE46"/>
  <sheetViews>
    <sheetView zoomScale="84" zoomScaleNormal="63" workbookViewId="0">
      <selection activeCell="O14" sqref="O14:P14"/>
    </sheetView>
  </sheetViews>
  <sheetFormatPr defaultRowHeight="15" x14ac:dyDescent="0.25"/>
  <sheetData>
    <row r="1" spans="2:57" x14ac:dyDescent="0.25">
      <c r="B1" s="121" t="s">
        <v>231</v>
      </c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</row>
    <row r="2" spans="2:57" x14ac:dyDescent="0.25">
      <c r="B2" s="272" t="s">
        <v>55</v>
      </c>
      <c r="C2" s="273"/>
      <c r="D2" s="273"/>
      <c r="E2" s="273"/>
      <c r="F2" s="273"/>
      <c r="G2" s="273"/>
      <c r="H2" s="273"/>
      <c r="I2" s="273"/>
      <c r="J2" s="273"/>
      <c r="K2" s="273"/>
      <c r="L2" s="274"/>
      <c r="N2" s="96"/>
      <c r="O2" s="96"/>
      <c r="P2" s="96"/>
      <c r="Q2" s="96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96"/>
      <c r="AF2" s="96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96"/>
      <c r="AS2" s="96"/>
      <c r="AT2" s="83"/>
      <c r="AU2" s="113"/>
      <c r="AV2" s="113"/>
      <c r="AW2" s="95"/>
      <c r="AX2" s="113"/>
      <c r="AY2" s="113"/>
      <c r="AZ2" s="113"/>
      <c r="BA2" s="113"/>
      <c r="BB2" s="113"/>
      <c r="BC2" s="113"/>
      <c r="BD2" s="113"/>
      <c r="BE2" s="113"/>
    </row>
    <row r="3" spans="2:57" x14ac:dyDescent="0.25">
      <c r="B3" s="10" t="s">
        <v>3</v>
      </c>
      <c r="C3" s="112" t="s">
        <v>39</v>
      </c>
      <c r="D3" s="91" t="s">
        <v>40</v>
      </c>
      <c r="E3" s="112" t="s">
        <v>41</v>
      </c>
      <c r="F3" s="112" t="s">
        <v>42</v>
      </c>
      <c r="G3" s="112" t="s">
        <v>43</v>
      </c>
      <c r="H3" s="112" t="s">
        <v>44</v>
      </c>
      <c r="I3" s="112" t="s">
        <v>45</v>
      </c>
      <c r="J3" s="112" t="s">
        <v>46</v>
      </c>
      <c r="K3" s="112" t="s">
        <v>47</v>
      </c>
      <c r="L3" s="47" t="s">
        <v>48</v>
      </c>
      <c r="N3" s="96"/>
      <c r="O3" s="113"/>
      <c r="P3" s="96"/>
      <c r="Q3" s="96"/>
      <c r="R3" s="96"/>
      <c r="S3" s="96"/>
      <c r="T3" s="113"/>
      <c r="U3" s="113"/>
      <c r="V3" s="165"/>
      <c r="W3" s="113"/>
      <c r="X3" s="113"/>
      <c r="Y3" s="113"/>
      <c r="Z3" s="113"/>
      <c r="AA3" s="113"/>
      <c r="AB3" s="113"/>
      <c r="AC3" s="113"/>
      <c r="AD3" s="113"/>
      <c r="AE3" s="96"/>
      <c r="AF3" s="96"/>
      <c r="AG3" s="113"/>
      <c r="AH3" s="113"/>
      <c r="AI3" s="165"/>
      <c r="AJ3" s="113"/>
      <c r="AK3" s="113"/>
      <c r="AL3" s="113"/>
      <c r="AM3" s="113"/>
      <c r="AN3" s="113"/>
      <c r="AO3" s="113"/>
      <c r="AP3" s="113"/>
      <c r="AQ3" s="113"/>
      <c r="AR3" s="96"/>
      <c r="AS3" s="96"/>
      <c r="AT3" s="126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</row>
    <row r="4" spans="2:57" x14ac:dyDescent="0.25">
      <c r="B4" s="183">
        <v>15750000</v>
      </c>
      <c r="C4" s="190">
        <v>11000000</v>
      </c>
      <c r="D4" s="190">
        <v>15750000</v>
      </c>
      <c r="E4" s="190">
        <v>13000000</v>
      </c>
      <c r="F4" s="190">
        <v>38250000</v>
      </c>
      <c r="G4" s="190">
        <v>32750000</v>
      </c>
      <c r="H4" s="190">
        <v>13250000</v>
      </c>
      <c r="I4" s="191">
        <v>35250000</v>
      </c>
      <c r="J4" s="191">
        <v>16000000</v>
      </c>
      <c r="K4" s="191">
        <v>6500000</v>
      </c>
      <c r="L4" s="211">
        <v>15250000</v>
      </c>
      <c r="N4" s="213"/>
      <c r="O4" s="83" t="s">
        <v>277</v>
      </c>
      <c r="P4" s="96"/>
      <c r="Q4" s="96"/>
      <c r="R4" s="83"/>
      <c r="S4" s="191"/>
      <c r="T4" s="96"/>
      <c r="U4" s="165"/>
      <c r="V4" s="165"/>
      <c r="W4" s="165"/>
      <c r="X4" s="165"/>
      <c r="Y4" s="165"/>
      <c r="Z4" s="165"/>
      <c r="AA4" s="96"/>
      <c r="AB4" s="96"/>
      <c r="AC4" s="96"/>
      <c r="AD4" s="96"/>
      <c r="AE4" s="96"/>
      <c r="AF4" s="96"/>
      <c r="AG4" s="83"/>
      <c r="AH4" s="83"/>
      <c r="AI4" s="83"/>
      <c r="AJ4" s="83"/>
      <c r="AK4" s="83"/>
      <c r="AL4" s="83"/>
      <c r="AM4" s="83"/>
      <c r="AN4" s="165"/>
      <c r="AO4" s="83"/>
      <c r="AP4" s="83"/>
      <c r="AQ4" s="83"/>
      <c r="AR4" s="96"/>
      <c r="AS4" s="96"/>
      <c r="AT4" s="126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</row>
    <row r="5" spans="2:57" x14ac:dyDescent="0.25">
      <c r="B5" s="183">
        <v>20250000</v>
      </c>
      <c r="C5" s="190">
        <v>37750000</v>
      </c>
      <c r="D5" s="190">
        <v>27500000</v>
      </c>
      <c r="E5" s="190">
        <v>13500000</v>
      </c>
      <c r="F5" s="190">
        <v>16000000</v>
      </c>
      <c r="G5" s="190">
        <v>24250000</v>
      </c>
      <c r="H5" s="190">
        <v>14250000</v>
      </c>
      <c r="I5" s="191">
        <v>21500000</v>
      </c>
      <c r="J5" s="191">
        <v>21750000</v>
      </c>
      <c r="K5" s="191">
        <v>15750000</v>
      </c>
      <c r="L5" s="211">
        <v>34500000</v>
      </c>
      <c r="N5" s="134"/>
      <c r="O5" s="83"/>
      <c r="P5" s="96"/>
      <c r="Q5" s="96"/>
      <c r="R5" s="83"/>
      <c r="S5" s="83"/>
      <c r="T5" s="96"/>
      <c r="U5" s="165"/>
      <c r="V5" s="165"/>
      <c r="W5" s="165"/>
      <c r="X5" s="165"/>
      <c r="Y5" s="165"/>
      <c r="Z5" s="165"/>
      <c r="AA5" s="96"/>
      <c r="AB5" s="96"/>
      <c r="AC5" s="96"/>
      <c r="AD5" s="96"/>
      <c r="AE5" s="96"/>
      <c r="AF5" s="96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96"/>
      <c r="AS5" s="96"/>
      <c r="AT5" s="126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</row>
    <row r="6" spans="2:57" x14ac:dyDescent="0.25">
      <c r="B6" s="183">
        <v>26000000</v>
      </c>
      <c r="C6" s="190">
        <v>18750000</v>
      </c>
      <c r="D6" s="190">
        <v>26750000</v>
      </c>
      <c r="E6" s="190">
        <v>37500000</v>
      </c>
      <c r="F6" s="190">
        <v>32500000</v>
      </c>
      <c r="G6" s="190">
        <v>6750000</v>
      </c>
      <c r="H6" s="190">
        <v>5500000</v>
      </c>
      <c r="I6" s="191">
        <v>24750000</v>
      </c>
      <c r="J6" s="191">
        <v>11000000</v>
      </c>
      <c r="K6" s="191">
        <v>29500000</v>
      </c>
      <c r="L6" s="211">
        <v>28500000</v>
      </c>
      <c r="N6" s="134"/>
      <c r="O6" s="83"/>
      <c r="P6" s="96"/>
      <c r="Q6" s="96"/>
      <c r="R6" s="96"/>
      <c r="S6" s="96"/>
      <c r="T6" s="96"/>
      <c r="U6" s="165"/>
      <c r="V6" s="165"/>
      <c r="W6" s="165"/>
      <c r="X6" s="165"/>
      <c r="Y6" s="165"/>
      <c r="Z6" s="165"/>
      <c r="AA6" s="96"/>
      <c r="AB6" s="96"/>
      <c r="AC6" s="96"/>
      <c r="AD6" s="96"/>
      <c r="AE6" s="96"/>
      <c r="AF6" s="96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96"/>
      <c r="AS6" s="96"/>
      <c r="AT6" s="126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</row>
    <row r="7" spans="2:57" x14ac:dyDescent="0.25">
      <c r="B7" s="183">
        <v>59500000</v>
      </c>
      <c r="C7" s="190">
        <v>19000000</v>
      </c>
      <c r="D7" s="190">
        <v>23750000</v>
      </c>
      <c r="E7" s="190">
        <v>36000000</v>
      </c>
      <c r="F7" s="190">
        <v>22250000</v>
      </c>
      <c r="G7" s="190">
        <v>11250000</v>
      </c>
      <c r="H7" s="190">
        <v>10500000</v>
      </c>
      <c r="I7" s="191">
        <v>36000000</v>
      </c>
      <c r="J7" s="191">
        <v>14000000</v>
      </c>
      <c r="K7" s="191">
        <v>15500000</v>
      </c>
      <c r="L7" s="211">
        <v>22000000</v>
      </c>
      <c r="N7" s="165"/>
      <c r="O7" s="210"/>
      <c r="P7" s="96"/>
      <c r="Q7" s="96"/>
      <c r="R7" s="96"/>
      <c r="S7" s="96"/>
      <c r="T7" s="96"/>
      <c r="U7" s="165"/>
      <c r="V7" s="165"/>
      <c r="W7" s="165"/>
      <c r="X7" s="165"/>
      <c r="Y7" s="165"/>
      <c r="Z7" s="165"/>
      <c r="AA7" s="96"/>
      <c r="AB7" s="96"/>
      <c r="AC7" s="96"/>
      <c r="AD7" s="96"/>
      <c r="AE7" s="96"/>
      <c r="AF7" s="96"/>
      <c r="AG7" s="83"/>
      <c r="AH7" s="83"/>
      <c r="AI7" s="83"/>
      <c r="AJ7" s="83"/>
      <c r="AK7" s="83"/>
      <c r="AL7" s="83"/>
      <c r="AM7" s="83"/>
      <c r="AN7" s="165"/>
      <c r="AO7" s="83"/>
      <c r="AP7" s="83"/>
      <c r="AQ7" s="83"/>
      <c r="AR7" s="96"/>
      <c r="AS7" s="96"/>
      <c r="AT7" s="126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</row>
    <row r="8" spans="2:57" x14ac:dyDescent="0.25">
      <c r="B8" s="183">
        <v>12000000</v>
      </c>
      <c r="C8" s="190">
        <v>32500000</v>
      </c>
      <c r="D8" s="190">
        <v>27500000</v>
      </c>
      <c r="E8" s="190">
        <v>20000000</v>
      </c>
      <c r="F8" s="190">
        <v>36000000</v>
      </c>
      <c r="G8" s="190">
        <v>13500000</v>
      </c>
      <c r="H8" s="190">
        <v>12750000</v>
      </c>
      <c r="I8" s="191">
        <v>23500000</v>
      </c>
      <c r="J8" s="191">
        <v>17250000</v>
      </c>
      <c r="K8" s="191">
        <v>11750000</v>
      </c>
      <c r="L8" s="211">
        <v>15500000</v>
      </c>
      <c r="N8" s="165"/>
      <c r="O8" s="96"/>
      <c r="P8" s="96"/>
      <c r="Q8" s="96"/>
      <c r="R8" s="96"/>
      <c r="S8" s="96"/>
      <c r="T8" s="96"/>
      <c r="U8" s="165"/>
      <c r="V8" s="165"/>
      <c r="W8" s="165"/>
      <c r="X8" s="165"/>
      <c r="Y8" s="165"/>
      <c r="Z8" s="165"/>
      <c r="AA8" s="96"/>
      <c r="AB8" s="96"/>
      <c r="AC8" s="96"/>
      <c r="AD8" s="96"/>
      <c r="AE8" s="96"/>
      <c r="AF8" s="96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96"/>
      <c r="AS8" s="96"/>
      <c r="AT8" s="126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</row>
    <row r="9" spans="2:57" x14ac:dyDescent="0.25">
      <c r="B9" s="183">
        <v>12500000</v>
      </c>
      <c r="C9" s="190">
        <v>13500000</v>
      </c>
      <c r="D9" s="190">
        <v>33500000</v>
      </c>
      <c r="E9" s="190">
        <v>24500000</v>
      </c>
      <c r="F9" s="190">
        <v>41750000</v>
      </c>
      <c r="G9" s="190">
        <v>9250000</v>
      </c>
      <c r="H9" s="190">
        <v>12250000</v>
      </c>
      <c r="I9" s="191">
        <v>21000000</v>
      </c>
      <c r="J9" s="191">
        <v>15250000</v>
      </c>
      <c r="K9" s="191">
        <v>11000000</v>
      </c>
      <c r="L9" s="211">
        <v>26750000</v>
      </c>
      <c r="N9" s="134"/>
      <c r="O9" s="96"/>
      <c r="P9" s="96"/>
      <c r="Q9" s="96"/>
      <c r="R9" s="96"/>
      <c r="S9" s="96"/>
      <c r="T9" s="96"/>
      <c r="U9" s="165"/>
      <c r="V9" s="165"/>
      <c r="W9" s="165"/>
      <c r="X9" s="165"/>
      <c r="Y9" s="165"/>
      <c r="Z9" s="165"/>
      <c r="AA9" s="96"/>
      <c r="AB9" s="96"/>
      <c r="AC9" s="96"/>
      <c r="AD9" s="96"/>
      <c r="AE9" s="96"/>
      <c r="AF9" s="96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96"/>
      <c r="AS9" s="96"/>
      <c r="AT9" s="126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</row>
    <row r="10" spans="2:57" x14ac:dyDescent="0.25">
      <c r="B10" s="183">
        <v>12250000</v>
      </c>
      <c r="C10" s="190">
        <v>43750000</v>
      </c>
      <c r="D10" s="190">
        <v>20250000</v>
      </c>
      <c r="E10" s="190">
        <v>48250000</v>
      </c>
      <c r="F10" s="190">
        <v>17500000</v>
      </c>
      <c r="G10" s="190">
        <v>8750000</v>
      </c>
      <c r="H10" s="190">
        <v>35250000</v>
      </c>
      <c r="I10" s="191">
        <v>28750000</v>
      </c>
      <c r="J10" s="191">
        <v>30500000</v>
      </c>
      <c r="K10" s="191">
        <v>22250000</v>
      </c>
      <c r="L10" s="211">
        <v>11000000</v>
      </c>
      <c r="N10" s="134"/>
      <c r="O10" s="96"/>
      <c r="P10" s="96"/>
      <c r="Q10" s="96"/>
      <c r="R10" s="96"/>
      <c r="S10" s="96"/>
      <c r="T10" s="96"/>
      <c r="U10" s="165"/>
      <c r="V10" s="165"/>
      <c r="W10" s="165"/>
      <c r="X10" s="165"/>
      <c r="Y10" s="165"/>
      <c r="Z10" s="165"/>
      <c r="AA10" s="96"/>
      <c r="AB10" s="96"/>
      <c r="AC10" s="96"/>
      <c r="AD10" s="96"/>
      <c r="AE10" s="96"/>
      <c r="AF10" s="96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96"/>
      <c r="AS10" s="96"/>
      <c r="AT10" s="126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</row>
    <row r="11" spans="2:57" x14ac:dyDescent="0.25">
      <c r="B11" s="183">
        <v>13500000</v>
      </c>
      <c r="C11" s="190">
        <v>22000000</v>
      </c>
      <c r="D11" s="190">
        <v>16250000</v>
      </c>
      <c r="E11" s="190">
        <v>22000000</v>
      </c>
      <c r="F11" s="190">
        <v>38750000</v>
      </c>
      <c r="G11" s="190">
        <v>9750000</v>
      </c>
      <c r="H11" s="190">
        <v>23500000</v>
      </c>
      <c r="I11" s="191">
        <v>22750000</v>
      </c>
      <c r="J11" s="191">
        <v>6750000</v>
      </c>
      <c r="K11" s="191">
        <v>27250000</v>
      </c>
      <c r="L11" s="211">
        <v>12250000</v>
      </c>
      <c r="N11" s="134"/>
      <c r="O11" s="96"/>
      <c r="P11" s="96"/>
      <c r="Q11" s="96"/>
      <c r="R11" s="96"/>
      <c r="S11" s="96"/>
      <c r="T11" s="96"/>
      <c r="U11" s="165"/>
      <c r="V11" s="165"/>
      <c r="W11" s="165"/>
      <c r="X11" s="165"/>
      <c r="Y11" s="165"/>
      <c r="Z11" s="165"/>
      <c r="AA11" s="96"/>
      <c r="AB11" s="96"/>
      <c r="AC11" s="96"/>
      <c r="AD11" s="96"/>
      <c r="AE11" s="96"/>
      <c r="AF11" s="96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96"/>
      <c r="AS11" s="96"/>
      <c r="AT11" s="126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</row>
    <row r="12" spans="2:57" x14ac:dyDescent="0.25">
      <c r="B12" s="212">
        <v>23750000</v>
      </c>
      <c r="C12" s="190">
        <v>26000000</v>
      </c>
      <c r="D12" s="190">
        <v>5750000</v>
      </c>
      <c r="E12" s="190">
        <v>15250000</v>
      </c>
      <c r="F12" s="190">
        <v>20000000</v>
      </c>
      <c r="G12" s="190">
        <v>27500000</v>
      </c>
      <c r="H12" s="128"/>
      <c r="I12" s="191">
        <v>16000000</v>
      </c>
      <c r="J12" s="191">
        <v>20500000</v>
      </c>
      <c r="K12" s="191">
        <v>21250000</v>
      </c>
      <c r="L12" s="211">
        <v>11750000</v>
      </c>
      <c r="N12" s="134"/>
      <c r="O12" s="96"/>
      <c r="P12" s="96"/>
      <c r="Q12" s="96"/>
      <c r="R12" s="96"/>
      <c r="S12" s="96"/>
      <c r="T12" s="96"/>
      <c r="U12" s="165"/>
      <c r="V12" s="165"/>
      <c r="W12" s="165"/>
      <c r="X12" s="165"/>
      <c r="Y12" s="165"/>
      <c r="Z12" s="165"/>
      <c r="AA12" s="96"/>
      <c r="AB12" s="96"/>
      <c r="AC12" s="96"/>
      <c r="AD12" s="96"/>
      <c r="AE12" s="96"/>
      <c r="AF12" s="96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96"/>
      <c r="AS12" s="96"/>
      <c r="AT12" s="126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</row>
    <row r="13" spans="2:57" x14ac:dyDescent="0.25">
      <c r="B13" s="212">
        <v>29500000</v>
      </c>
      <c r="C13" s="190">
        <v>15250000</v>
      </c>
      <c r="D13" s="190">
        <v>8500000</v>
      </c>
      <c r="E13" s="190">
        <v>22500000</v>
      </c>
      <c r="F13" s="190">
        <v>7000000</v>
      </c>
      <c r="G13" s="190">
        <v>27250000</v>
      </c>
      <c r="H13" s="190">
        <v>9750000</v>
      </c>
      <c r="I13" s="191">
        <v>18000000</v>
      </c>
      <c r="J13" s="191">
        <v>14250000</v>
      </c>
      <c r="K13" s="191">
        <v>21000000</v>
      </c>
      <c r="L13" s="211">
        <v>11750000</v>
      </c>
      <c r="N13" s="134"/>
      <c r="O13" s="96"/>
      <c r="P13" s="96"/>
      <c r="Q13" s="96"/>
      <c r="R13" s="96"/>
      <c r="S13" s="96"/>
      <c r="T13" s="96"/>
      <c r="U13" s="165"/>
      <c r="V13" s="165"/>
      <c r="W13" s="165"/>
      <c r="X13" s="165"/>
      <c r="Y13" s="165"/>
      <c r="Z13" s="165"/>
      <c r="AA13" s="96"/>
      <c r="AB13" s="96"/>
      <c r="AC13" s="96"/>
      <c r="AD13" s="96"/>
      <c r="AE13" s="96"/>
      <c r="AF13" s="96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96"/>
      <c r="AS13" s="96"/>
      <c r="AT13" s="126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</row>
    <row r="14" spans="2:57" x14ac:dyDescent="0.25">
      <c r="B14" s="212">
        <v>11500000</v>
      </c>
      <c r="C14" s="191">
        <v>12750000</v>
      </c>
      <c r="D14" s="191">
        <v>31000000</v>
      </c>
      <c r="E14" s="191">
        <v>17500000</v>
      </c>
      <c r="F14" s="191">
        <v>9000000</v>
      </c>
      <c r="G14" s="191">
        <v>9250000</v>
      </c>
      <c r="H14" s="191">
        <v>14250000</v>
      </c>
      <c r="I14" s="190">
        <v>40750000</v>
      </c>
      <c r="J14" s="190">
        <v>15750000</v>
      </c>
      <c r="K14" s="190">
        <v>20000000</v>
      </c>
      <c r="L14" s="184">
        <v>15500000</v>
      </c>
      <c r="N14" s="134"/>
      <c r="O14" s="96"/>
      <c r="P14" s="96"/>
      <c r="Q14" s="96"/>
      <c r="R14" s="83"/>
      <c r="S14" s="191"/>
      <c r="T14" s="96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96"/>
      <c r="AF14" s="96"/>
      <c r="AG14" s="83"/>
      <c r="AH14" s="83"/>
      <c r="AI14" s="83"/>
      <c r="AJ14" s="83"/>
      <c r="AK14" s="83"/>
      <c r="AL14" s="83"/>
      <c r="AM14" s="83"/>
      <c r="AN14" s="165"/>
      <c r="AO14" s="165"/>
      <c r="AP14" s="165"/>
      <c r="AQ14" s="165"/>
      <c r="AR14" s="96"/>
      <c r="AS14" s="96"/>
      <c r="AT14" s="126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</row>
    <row r="15" spans="2:57" x14ac:dyDescent="0.25">
      <c r="B15" s="212">
        <v>13250000</v>
      </c>
      <c r="C15" s="191">
        <v>12500000</v>
      </c>
      <c r="D15" s="191">
        <v>31250000</v>
      </c>
      <c r="E15" s="191">
        <v>23500000</v>
      </c>
      <c r="F15" s="191">
        <v>14750000</v>
      </c>
      <c r="G15" s="191">
        <v>18000000</v>
      </c>
      <c r="H15" s="191">
        <v>24750000</v>
      </c>
      <c r="I15" s="190">
        <v>41750000</v>
      </c>
      <c r="J15" s="190">
        <v>14750000</v>
      </c>
      <c r="K15" s="190">
        <v>9750000</v>
      </c>
      <c r="L15" s="184">
        <v>31250000</v>
      </c>
      <c r="N15" s="134"/>
      <c r="O15" s="96"/>
      <c r="P15" s="96"/>
      <c r="Q15" s="96"/>
      <c r="R15" s="83"/>
      <c r="S15" s="83"/>
      <c r="T15" s="96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96"/>
      <c r="AF15" s="96"/>
      <c r="AG15" s="83"/>
      <c r="AH15" s="83"/>
      <c r="AI15" s="83"/>
      <c r="AJ15" s="83"/>
      <c r="AK15" s="83"/>
      <c r="AL15" s="83"/>
      <c r="AM15" s="83"/>
      <c r="AN15" s="120"/>
      <c r="AO15" s="165"/>
      <c r="AP15" s="165"/>
      <c r="AQ15" s="165"/>
      <c r="AR15" s="96"/>
      <c r="AS15" s="96"/>
      <c r="AT15" s="126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</row>
    <row r="16" spans="2:57" x14ac:dyDescent="0.25">
      <c r="B16" s="212">
        <v>8500000</v>
      </c>
      <c r="C16" s="191">
        <v>24250000</v>
      </c>
      <c r="D16" s="191">
        <v>23750000</v>
      </c>
      <c r="E16" s="191">
        <v>26500000</v>
      </c>
      <c r="F16" s="191">
        <v>14000000</v>
      </c>
      <c r="G16" s="191">
        <v>19000000</v>
      </c>
      <c r="H16" s="191">
        <v>28500000</v>
      </c>
      <c r="I16" s="190">
        <v>21500000</v>
      </c>
      <c r="J16" s="190">
        <v>11500000</v>
      </c>
      <c r="K16" s="190">
        <v>22750000</v>
      </c>
      <c r="L16" s="184">
        <v>22250000</v>
      </c>
      <c r="N16" s="134"/>
      <c r="O16" s="96"/>
      <c r="P16" s="96"/>
      <c r="Q16" s="96"/>
      <c r="R16" s="96"/>
      <c r="S16" s="96"/>
      <c r="T16" s="96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96"/>
      <c r="AF16" s="96"/>
      <c r="AG16" s="83"/>
      <c r="AH16" s="83"/>
      <c r="AI16" s="83"/>
      <c r="AJ16" s="83"/>
      <c r="AK16" s="83"/>
      <c r="AL16" s="83"/>
      <c r="AM16" s="83"/>
      <c r="AN16" s="165"/>
      <c r="AO16" s="165"/>
      <c r="AP16" s="165"/>
      <c r="AQ16" s="165"/>
      <c r="AR16" s="96"/>
      <c r="AS16" s="96"/>
      <c r="AT16" s="126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</row>
    <row r="17" spans="1:57" x14ac:dyDescent="0.25">
      <c r="B17" s="212">
        <v>15500000</v>
      </c>
      <c r="C17" s="191">
        <v>17250000</v>
      </c>
      <c r="D17" s="191">
        <v>14750000</v>
      </c>
      <c r="E17" s="191">
        <v>23250000</v>
      </c>
      <c r="F17" s="191">
        <v>12000000</v>
      </c>
      <c r="G17" s="191">
        <v>36000000</v>
      </c>
      <c r="H17" s="191">
        <v>28250000</v>
      </c>
      <c r="I17" s="190">
        <v>22000000</v>
      </c>
      <c r="J17" s="190">
        <v>36250000</v>
      </c>
      <c r="K17" s="190">
        <v>15250000</v>
      </c>
      <c r="L17" s="184">
        <v>25500000</v>
      </c>
      <c r="N17" s="134"/>
      <c r="O17" s="96"/>
      <c r="P17" s="96"/>
      <c r="Q17" s="96"/>
      <c r="R17" s="96"/>
      <c r="S17" s="96"/>
      <c r="T17" s="96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96"/>
      <c r="AF17" s="96"/>
      <c r="AG17" s="83"/>
      <c r="AH17" s="83"/>
      <c r="AI17" s="83"/>
      <c r="AJ17" s="83"/>
      <c r="AK17" s="83"/>
      <c r="AL17" s="83"/>
      <c r="AM17" s="83"/>
      <c r="AN17" s="165"/>
      <c r="AO17" s="165"/>
      <c r="AP17" s="165"/>
      <c r="AQ17" s="165"/>
      <c r="AR17" s="96"/>
      <c r="AS17" s="96"/>
      <c r="AT17" s="126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</row>
    <row r="18" spans="1:57" x14ac:dyDescent="0.25">
      <c r="B18" s="212">
        <v>14000000</v>
      </c>
      <c r="C18" s="191">
        <v>26250000</v>
      </c>
      <c r="D18" s="191">
        <v>6500000</v>
      </c>
      <c r="E18" s="191">
        <v>7250000</v>
      </c>
      <c r="F18" s="191">
        <v>49750000</v>
      </c>
      <c r="G18" s="191">
        <v>24000000</v>
      </c>
      <c r="H18" s="191">
        <v>26750000</v>
      </c>
      <c r="I18" s="190">
        <v>30500000</v>
      </c>
      <c r="J18" s="190">
        <v>16000000</v>
      </c>
      <c r="K18" s="190">
        <v>9250000</v>
      </c>
      <c r="L18" s="184">
        <v>34750000</v>
      </c>
      <c r="N18" s="165"/>
      <c r="O18" s="96"/>
      <c r="P18" s="96"/>
      <c r="Q18" s="96"/>
      <c r="R18" s="96"/>
      <c r="S18" s="96"/>
      <c r="T18" s="96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96"/>
      <c r="AF18" s="96"/>
      <c r="AG18" s="83"/>
      <c r="AH18" s="83"/>
      <c r="AI18" s="83"/>
      <c r="AJ18" s="83"/>
      <c r="AK18" s="83"/>
      <c r="AL18" s="83"/>
      <c r="AM18" s="83"/>
      <c r="AN18" s="165"/>
      <c r="AO18" s="165"/>
      <c r="AP18" s="165"/>
      <c r="AQ18" s="165"/>
      <c r="AR18" s="96"/>
      <c r="AS18" s="96"/>
      <c r="AT18" s="126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</row>
    <row r="19" spans="1:57" x14ac:dyDescent="0.25">
      <c r="B19" s="212">
        <v>13750000</v>
      </c>
      <c r="C19" s="191">
        <v>21000000</v>
      </c>
      <c r="D19" s="191">
        <v>12750000</v>
      </c>
      <c r="E19" s="191">
        <v>16000000</v>
      </c>
      <c r="F19" s="191">
        <v>30500000</v>
      </c>
      <c r="G19" s="191">
        <v>19250000</v>
      </c>
      <c r="H19" s="191">
        <v>40500000</v>
      </c>
      <c r="I19" s="190">
        <v>41500000</v>
      </c>
      <c r="J19" s="190">
        <v>24750000</v>
      </c>
      <c r="K19" s="190">
        <v>15750000</v>
      </c>
      <c r="L19" s="184">
        <v>21000000</v>
      </c>
      <c r="N19" s="113"/>
      <c r="O19" s="96"/>
      <c r="P19" s="96"/>
      <c r="Q19" s="96"/>
      <c r="R19" s="96"/>
      <c r="S19" s="96"/>
      <c r="T19" s="96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96"/>
      <c r="AF19" s="96"/>
      <c r="AG19" s="83"/>
      <c r="AH19" s="83"/>
      <c r="AI19" s="83"/>
      <c r="AJ19" s="83"/>
      <c r="AK19" s="83"/>
      <c r="AL19" s="83"/>
      <c r="AM19" s="83"/>
      <c r="AN19" s="165"/>
      <c r="AO19" s="165"/>
      <c r="AP19" s="165"/>
      <c r="AQ19" s="165"/>
      <c r="AR19" s="96"/>
      <c r="AS19" s="96"/>
      <c r="AT19" s="126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</row>
    <row r="20" spans="1:57" x14ac:dyDescent="0.25">
      <c r="B20" s="183">
        <v>27000000</v>
      </c>
      <c r="C20" s="191">
        <v>11500000</v>
      </c>
      <c r="D20" s="191">
        <v>21000000</v>
      </c>
      <c r="E20" s="191">
        <v>24500000</v>
      </c>
      <c r="F20" s="191">
        <v>29500000</v>
      </c>
      <c r="G20" s="191">
        <v>8000000</v>
      </c>
      <c r="H20" s="191">
        <v>22750000</v>
      </c>
      <c r="I20" s="190">
        <v>20750000</v>
      </c>
      <c r="J20" s="190">
        <v>15750000</v>
      </c>
      <c r="K20" s="190">
        <v>8250000</v>
      </c>
      <c r="L20" s="184">
        <v>22250000</v>
      </c>
      <c r="N20" s="134"/>
      <c r="O20" s="96"/>
      <c r="P20" s="96"/>
      <c r="Q20" s="96"/>
      <c r="R20" s="96"/>
      <c r="S20" s="96"/>
      <c r="T20" s="96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96"/>
      <c r="AF20" s="96"/>
      <c r="AG20" s="83"/>
      <c r="AH20" s="83"/>
      <c r="AI20" s="83"/>
      <c r="AJ20" s="83"/>
      <c r="AK20" s="83"/>
      <c r="AL20" s="83"/>
      <c r="AM20" s="83"/>
      <c r="AN20" s="165"/>
      <c r="AO20" s="165"/>
      <c r="AP20" s="165"/>
      <c r="AQ20" s="165"/>
      <c r="AR20" s="96"/>
      <c r="AS20" s="96"/>
      <c r="AT20" s="126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</row>
    <row r="21" spans="1:57" x14ac:dyDescent="0.25">
      <c r="B21" s="183">
        <v>34250000</v>
      </c>
      <c r="C21" s="191">
        <v>14500000</v>
      </c>
      <c r="D21" s="191">
        <v>16250000</v>
      </c>
      <c r="E21" s="191">
        <v>22500000</v>
      </c>
      <c r="F21" s="191">
        <v>27250000</v>
      </c>
      <c r="G21" s="191">
        <v>6750000</v>
      </c>
      <c r="H21" s="191">
        <v>22250000</v>
      </c>
      <c r="I21" s="190">
        <v>18000000</v>
      </c>
      <c r="J21" s="190">
        <v>27000000</v>
      </c>
      <c r="K21" s="190">
        <v>7250000</v>
      </c>
      <c r="L21" s="184">
        <v>23000000</v>
      </c>
      <c r="N21" s="134"/>
      <c r="O21" s="96"/>
      <c r="P21" s="96"/>
      <c r="Q21" s="96"/>
      <c r="R21" s="96"/>
      <c r="S21" s="96"/>
      <c r="T21" s="96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96"/>
      <c r="AF21" s="96"/>
      <c r="AG21" s="83"/>
      <c r="AH21" s="83"/>
      <c r="AI21" s="83"/>
      <c r="AJ21" s="83"/>
      <c r="AK21" s="83"/>
      <c r="AL21" s="83"/>
      <c r="AM21" s="83"/>
      <c r="AN21" s="165"/>
      <c r="AO21" s="165"/>
      <c r="AP21" s="165"/>
      <c r="AQ21" s="165"/>
      <c r="AR21" s="96"/>
      <c r="AS21" s="96"/>
      <c r="AT21" s="126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</row>
    <row r="22" spans="1:57" x14ac:dyDescent="0.25">
      <c r="B22" s="183">
        <v>15500000</v>
      </c>
      <c r="C22" s="191">
        <v>16500000</v>
      </c>
      <c r="D22" s="191">
        <v>22000000</v>
      </c>
      <c r="E22" s="191">
        <v>38250000</v>
      </c>
      <c r="F22" s="191">
        <v>18000000</v>
      </c>
      <c r="G22" s="191">
        <v>22000000</v>
      </c>
      <c r="H22" s="191">
        <v>14750000</v>
      </c>
      <c r="I22" s="190">
        <v>19000000</v>
      </c>
      <c r="J22" s="190">
        <v>34250000</v>
      </c>
      <c r="K22" s="190">
        <v>36000000</v>
      </c>
      <c r="L22" s="184">
        <v>36250000</v>
      </c>
      <c r="N22" s="134"/>
      <c r="O22" s="96"/>
      <c r="P22" s="96"/>
      <c r="Q22" s="96"/>
      <c r="R22" s="96"/>
      <c r="S22" s="96"/>
      <c r="T22" s="96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96"/>
      <c r="AF22" s="96"/>
      <c r="AG22" s="83"/>
      <c r="AH22" s="83"/>
      <c r="AI22" s="83"/>
      <c r="AJ22" s="83"/>
      <c r="AK22" s="83"/>
      <c r="AL22" s="83"/>
      <c r="AM22" s="83"/>
      <c r="AN22" s="165"/>
      <c r="AO22" s="165"/>
      <c r="AP22" s="165"/>
      <c r="AQ22" s="165"/>
      <c r="AR22" s="96"/>
      <c r="AS22" s="96"/>
      <c r="AT22" s="126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</row>
    <row r="23" spans="1:57" x14ac:dyDescent="0.25">
      <c r="B23" s="185">
        <v>15000000</v>
      </c>
      <c r="C23" s="214">
        <v>27000000</v>
      </c>
      <c r="D23" s="214">
        <v>17250000</v>
      </c>
      <c r="E23" s="214">
        <v>32000000</v>
      </c>
      <c r="F23" s="214">
        <v>25750000</v>
      </c>
      <c r="G23" s="214">
        <v>15250000</v>
      </c>
      <c r="H23" s="214">
        <v>22750000</v>
      </c>
      <c r="I23" s="186">
        <v>23250000</v>
      </c>
      <c r="J23" s="186">
        <v>17000000</v>
      </c>
      <c r="K23" s="186">
        <v>19500000</v>
      </c>
      <c r="L23" s="187">
        <v>27500000</v>
      </c>
      <c r="N23" s="134"/>
      <c r="O23" s="96"/>
      <c r="P23" s="96"/>
      <c r="Q23" s="96"/>
      <c r="R23" s="96"/>
      <c r="S23" s="96"/>
      <c r="T23" s="96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96"/>
      <c r="AF23" s="96"/>
      <c r="AG23" s="83"/>
      <c r="AH23" s="83"/>
      <c r="AI23" s="83"/>
      <c r="AJ23" s="83"/>
      <c r="AK23" s="83"/>
      <c r="AL23" s="83"/>
      <c r="AM23" s="83"/>
      <c r="AN23" s="165"/>
      <c r="AO23" s="165"/>
      <c r="AP23" s="165"/>
      <c r="AQ23" s="165"/>
      <c r="AR23" s="96"/>
      <c r="AS23" s="96"/>
      <c r="AT23" s="126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</row>
    <row r="24" spans="1:57" x14ac:dyDescent="0.25">
      <c r="A24" s="96"/>
      <c r="B24" s="96"/>
      <c r="C24" s="165"/>
      <c r="D24" s="165"/>
      <c r="E24" s="165"/>
      <c r="F24" s="165"/>
      <c r="G24" s="165"/>
      <c r="H24" s="165"/>
      <c r="I24" s="96"/>
      <c r="J24" s="96"/>
      <c r="K24" s="96"/>
      <c r="L24" s="96"/>
      <c r="N24" s="134"/>
      <c r="O24" s="96"/>
      <c r="P24" s="96"/>
      <c r="Q24" s="96"/>
      <c r="R24" s="83"/>
      <c r="S24" s="191"/>
      <c r="T24" s="96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126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</row>
    <row r="25" spans="1:57" x14ac:dyDescent="0.25">
      <c r="A25" s="96"/>
      <c r="B25" s="190"/>
      <c r="C25" s="165"/>
      <c r="D25" s="165"/>
      <c r="E25" s="165"/>
      <c r="F25" s="165"/>
      <c r="G25" s="165"/>
      <c r="H25" s="165"/>
      <c r="I25" s="96"/>
      <c r="J25" s="96"/>
      <c r="K25" s="96"/>
      <c r="L25" s="96"/>
      <c r="N25" s="165"/>
      <c r="O25" s="96"/>
      <c r="P25" s="96"/>
      <c r="Q25" s="96"/>
      <c r="R25" s="83"/>
      <c r="S25" s="83"/>
      <c r="T25" s="96"/>
      <c r="U25" s="96"/>
      <c r="V25" s="96"/>
      <c r="W25" s="96"/>
      <c r="X25" s="96"/>
      <c r="Y25" s="96"/>
      <c r="Z25" s="96"/>
      <c r="AA25" s="165"/>
      <c r="AB25" s="165"/>
      <c r="AC25" s="165"/>
      <c r="AD25" s="165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</row>
    <row r="26" spans="1:57" x14ac:dyDescent="0.25">
      <c r="A26" s="96"/>
      <c r="B26" s="96"/>
      <c r="C26" s="165"/>
      <c r="D26" s="165"/>
      <c r="E26" s="165"/>
      <c r="F26" s="165"/>
      <c r="G26" s="165"/>
      <c r="H26" s="165"/>
      <c r="I26" s="96"/>
      <c r="J26" s="96"/>
      <c r="K26" s="96"/>
      <c r="L26" s="96"/>
      <c r="N26" s="134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165"/>
      <c r="AB26" s="165"/>
      <c r="AC26" s="165"/>
      <c r="AD26" s="165"/>
      <c r="AE26" s="96"/>
      <c r="AT26" s="98"/>
      <c r="AU26" s="99"/>
      <c r="AV26" s="96"/>
      <c r="AW26" s="96"/>
      <c r="AX26" s="96"/>
      <c r="AY26" s="96"/>
      <c r="AZ26" s="96"/>
      <c r="BA26" s="96"/>
      <c r="BB26" s="96"/>
      <c r="BC26" s="96"/>
      <c r="BD26" s="96"/>
      <c r="BE26" s="96"/>
    </row>
    <row r="27" spans="1:57" x14ac:dyDescent="0.25">
      <c r="A27" s="96"/>
      <c r="B27" s="96"/>
      <c r="C27" s="165"/>
      <c r="D27" s="165"/>
      <c r="E27" s="165"/>
      <c r="F27" s="165"/>
      <c r="G27" s="165"/>
      <c r="H27" s="165"/>
      <c r="I27" s="96"/>
      <c r="J27" s="96"/>
      <c r="K27" s="96"/>
      <c r="L27" s="96"/>
      <c r="N27" s="134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165"/>
      <c r="AB27" s="165"/>
      <c r="AC27" s="165"/>
      <c r="AD27" s="165"/>
      <c r="AE27" s="96"/>
      <c r="AT27" s="98"/>
      <c r="AU27" s="99"/>
      <c r="AV27" s="96"/>
      <c r="AW27" s="96"/>
      <c r="AX27" s="96"/>
      <c r="AY27" s="96"/>
      <c r="AZ27" s="96"/>
      <c r="BA27" s="96"/>
      <c r="BB27" s="96"/>
      <c r="BC27" s="96"/>
      <c r="BD27" s="96"/>
      <c r="BE27" s="96"/>
    </row>
    <row r="28" spans="1:57" x14ac:dyDescent="0.25">
      <c r="A28" s="96"/>
      <c r="B28" s="96"/>
      <c r="C28" s="165"/>
      <c r="D28" s="165"/>
      <c r="E28" s="165"/>
      <c r="F28" s="165"/>
      <c r="G28" s="165"/>
      <c r="H28" s="165"/>
      <c r="I28" s="96"/>
      <c r="J28" s="96"/>
      <c r="K28" s="96"/>
      <c r="L28" s="96"/>
      <c r="N28" s="134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165"/>
      <c r="AB28" s="165"/>
      <c r="AC28" s="165"/>
      <c r="AD28" s="165"/>
      <c r="AE28" s="96"/>
      <c r="AT28" s="98"/>
      <c r="AU28" s="99"/>
      <c r="AV28" s="96"/>
      <c r="AW28" s="96"/>
      <c r="AX28" s="96"/>
      <c r="AY28" s="96"/>
      <c r="AZ28" s="96"/>
      <c r="BA28" s="96"/>
      <c r="BB28" s="96"/>
      <c r="BC28" s="96"/>
      <c r="BD28" s="96"/>
      <c r="BE28" s="96"/>
    </row>
    <row r="29" spans="1:57" x14ac:dyDescent="0.25">
      <c r="A29" s="96"/>
      <c r="B29" s="165"/>
      <c r="C29" s="165"/>
      <c r="D29" s="165"/>
      <c r="E29" s="165"/>
      <c r="F29" s="165"/>
      <c r="G29" s="165"/>
      <c r="H29" s="165"/>
      <c r="I29" s="96"/>
      <c r="J29" s="96"/>
      <c r="K29" s="96"/>
      <c r="L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165"/>
      <c r="AB29" s="165"/>
      <c r="AC29" s="165"/>
      <c r="AD29" s="165"/>
      <c r="AE29" s="96"/>
      <c r="AT29" s="98"/>
      <c r="AU29" s="99"/>
      <c r="AV29" s="96"/>
      <c r="AW29" s="96"/>
      <c r="AX29" s="96"/>
      <c r="AY29" s="96"/>
      <c r="AZ29" s="96"/>
      <c r="BA29" s="96"/>
      <c r="BB29" s="96"/>
      <c r="BC29" s="96"/>
      <c r="BD29" s="96"/>
      <c r="BE29" s="96"/>
    </row>
    <row r="30" spans="1:57" x14ac:dyDescent="0.25">
      <c r="A30" s="96"/>
      <c r="B30" s="165"/>
      <c r="C30" s="165"/>
      <c r="D30" s="165"/>
      <c r="E30" s="165"/>
      <c r="F30" s="165"/>
      <c r="G30" s="165"/>
      <c r="H30" s="165"/>
      <c r="I30" s="96"/>
      <c r="J30" s="96"/>
      <c r="K30" s="96"/>
      <c r="L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165"/>
      <c r="AB30" s="165"/>
      <c r="AC30" s="165"/>
      <c r="AD30" s="165"/>
      <c r="AE30" s="96"/>
      <c r="AT30" s="98"/>
      <c r="AU30" s="99"/>
      <c r="AV30" s="96"/>
      <c r="AW30" s="96"/>
      <c r="AX30" s="96"/>
      <c r="AY30" s="96"/>
      <c r="AZ30" s="96"/>
      <c r="BA30" s="96"/>
      <c r="BB30" s="96"/>
      <c r="BC30" s="96"/>
      <c r="BD30" s="96"/>
      <c r="BE30" s="96"/>
    </row>
    <row r="31" spans="1:57" x14ac:dyDescent="0.25">
      <c r="A31" s="96"/>
      <c r="B31" s="165"/>
      <c r="C31" s="165"/>
      <c r="D31" s="165"/>
      <c r="E31" s="165"/>
      <c r="F31" s="165"/>
      <c r="G31" s="165"/>
      <c r="H31" s="165"/>
      <c r="I31" s="96"/>
      <c r="J31" s="96"/>
      <c r="K31" s="96"/>
      <c r="L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165"/>
      <c r="AB31" s="165"/>
      <c r="AC31" s="165"/>
      <c r="AD31" s="165"/>
      <c r="AE31" s="96"/>
      <c r="AT31" s="98"/>
      <c r="AU31" s="99"/>
      <c r="AV31" s="96"/>
      <c r="AW31" s="96"/>
      <c r="AX31" s="96"/>
      <c r="AY31" s="96"/>
      <c r="AZ31" s="96"/>
      <c r="BA31" s="96"/>
      <c r="BB31" s="96"/>
      <c r="BC31" s="96"/>
      <c r="BD31" s="96"/>
      <c r="BE31" s="96"/>
    </row>
    <row r="32" spans="1:57" x14ac:dyDescent="0.25">
      <c r="A32" s="96"/>
      <c r="B32" s="165"/>
      <c r="C32" s="165"/>
      <c r="D32" s="165"/>
      <c r="E32" s="165"/>
      <c r="F32" s="165"/>
      <c r="G32" s="165"/>
      <c r="H32" s="165"/>
      <c r="I32" s="96"/>
      <c r="J32" s="96"/>
      <c r="K32" s="96"/>
      <c r="L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165"/>
      <c r="AB32" s="165"/>
      <c r="AC32" s="165"/>
      <c r="AD32" s="165"/>
      <c r="AE32" s="96"/>
      <c r="AT32" s="98"/>
      <c r="AU32" s="99"/>
      <c r="AV32" s="96"/>
      <c r="AW32" s="96"/>
      <c r="AX32" s="96"/>
      <c r="AY32" s="96"/>
      <c r="AZ32" s="96"/>
      <c r="BA32" s="96"/>
      <c r="BB32" s="96"/>
      <c r="BC32" s="96"/>
      <c r="BD32" s="96"/>
      <c r="BE32" s="96"/>
    </row>
    <row r="33" spans="1:57" x14ac:dyDescent="0.25">
      <c r="A33" s="96"/>
      <c r="B33" s="165"/>
      <c r="C33" s="165"/>
      <c r="D33" s="165"/>
      <c r="E33" s="165"/>
      <c r="F33" s="165"/>
      <c r="G33" s="165"/>
      <c r="H33" s="165"/>
      <c r="I33" s="96"/>
      <c r="J33" s="96"/>
      <c r="K33" s="96"/>
      <c r="L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165"/>
      <c r="AB33" s="165"/>
      <c r="AC33" s="165"/>
      <c r="AD33" s="165"/>
      <c r="AE33" s="96"/>
      <c r="AT33" s="98"/>
      <c r="AU33" s="99"/>
      <c r="AV33" s="96"/>
      <c r="AW33" s="96"/>
      <c r="AX33" s="96"/>
      <c r="AY33" s="96"/>
      <c r="AZ33" s="96"/>
      <c r="BA33" s="96"/>
      <c r="BB33" s="96"/>
      <c r="BC33" s="96"/>
      <c r="BD33" s="96"/>
      <c r="BE33" s="96"/>
    </row>
    <row r="34" spans="1:57" x14ac:dyDescent="0.25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T34" s="98"/>
      <c r="AU34" s="99"/>
      <c r="AV34" s="96"/>
      <c r="AW34" s="96"/>
      <c r="AX34" s="96"/>
      <c r="AY34" s="96"/>
      <c r="AZ34" s="96"/>
      <c r="BA34" s="96"/>
      <c r="BB34" s="96"/>
      <c r="BC34" s="96"/>
      <c r="BD34" s="96"/>
      <c r="BE34" s="96"/>
    </row>
    <row r="35" spans="1:57" x14ac:dyDescent="0.25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T35" s="98"/>
      <c r="AU35" s="99"/>
      <c r="AV35" s="96"/>
      <c r="AW35" s="96"/>
      <c r="AX35" s="96"/>
      <c r="AY35" s="96"/>
      <c r="AZ35" s="96"/>
      <c r="BA35" s="96"/>
      <c r="BB35" s="96"/>
      <c r="BC35" s="96"/>
      <c r="BD35" s="96"/>
      <c r="BE35" s="96"/>
    </row>
    <row r="36" spans="1:57" x14ac:dyDescent="0.25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AT36" s="98"/>
      <c r="AU36" s="99"/>
      <c r="AV36" s="96"/>
      <c r="AW36" s="96"/>
      <c r="AX36" s="96"/>
      <c r="AY36" s="96"/>
      <c r="AZ36" s="96"/>
      <c r="BA36" s="96"/>
      <c r="BB36" s="96"/>
      <c r="BC36" s="96"/>
      <c r="BD36" s="96"/>
      <c r="BE36" s="96"/>
    </row>
    <row r="37" spans="1:57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AT37" s="98"/>
      <c r="AU37" s="99"/>
      <c r="AV37" s="96"/>
      <c r="AW37" s="96"/>
      <c r="AX37" s="96"/>
      <c r="AY37" s="96"/>
      <c r="AZ37" s="96"/>
      <c r="BA37" s="96"/>
      <c r="BB37" s="96"/>
      <c r="BC37" s="96"/>
      <c r="BD37" s="96"/>
      <c r="BE37" s="96"/>
    </row>
    <row r="38" spans="1:57" x14ac:dyDescent="0.25">
      <c r="AT38" s="98"/>
      <c r="AU38" s="99"/>
      <c r="AV38" s="96"/>
      <c r="AW38" s="96"/>
      <c r="AX38" s="96"/>
      <c r="AY38" s="96"/>
      <c r="AZ38" s="96"/>
      <c r="BA38" s="96"/>
      <c r="BB38" s="96"/>
      <c r="BC38" s="96"/>
      <c r="BD38" s="96"/>
      <c r="BE38" s="96"/>
    </row>
    <row r="39" spans="1:57" x14ac:dyDescent="0.25">
      <c r="AT39" s="98"/>
      <c r="AU39" s="99"/>
      <c r="AV39" s="99"/>
      <c r="AW39" s="99"/>
      <c r="AX39" s="99"/>
      <c r="AY39" s="99"/>
      <c r="AZ39" s="96"/>
      <c r="BA39" s="96"/>
      <c r="BB39" s="96"/>
      <c r="BC39" s="96"/>
      <c r="BD39" s="96"/>
      <c r="BE39" s="96"/>
    </row>
    <row r="40" spans="1:57" x14ac:dyDescent="0.25">
      <c r="AT40" s="35"/>
      <c r="AU40" s="25"/>
      <c r="AV40" s="25"/>
      <c r="AW40" s="25"/>
      <c r="AX40" s="25"/>
      <c r="AY40" s="25"/>
    </row>
    <row r="41" spans="1:57" x14ac:dyDescent="0.25">
      <c r="AT41" s="35"/>
      <c r="AU41" s="25"/>
      <c r="AV41" s="25"/>
      <c r="AW41" s="25"/>
      <c r="AX41" s="25"/>
      <c r="AY41" s="25"/>
    </row>
    <row r="42" spans="1:57" x14ac:dyDescent="0.25">
      <c r="AT42" s="35"/>
      <c r="AU42" s="25"/>
      <c r="AV42" s="25"/>
      <c r="AW42" s="25"/>
      <c r="AX42" s="25"/>
      <c r="AY42" s="25"/>
    </row>
    <row r="43" spans="1:57" x14ac:dyDescent="0.25">
      <c r="AT43" s="35"/>
      <c r="AU43" s="25"/>
      <c r="AV43" s="25"/>
      <c r="AW43" s="25"/>
      <c r="AX43" s="25"/>
      <c r="AY43" s="25"/>
    </row>
    <row r="44" spans="1:57" x14ac:dyDescent="0.25">
      <c r="AT44" s="35"/>
      <c r="AU44" s="25"/>
      <c r="AV44" s="25"/>
      <c r="AW44" s="25"/>
      <c r="AX44" s="25"/>
      <c r="AY44" s="25"/>
    </row>
    <row r="45" spans="1:57" x14ac:dyDescent="0.25">
      <c r="AT45" s="35"/>
      <c r="AU45" s="25"/>
      <c r="AV45" s="25"/>
      <c r="AW45" s="25"/>
      <c r="AX45" s="25"/>
      <c r="AY45" s="25"/>
    </row>
    <row r="46" spans="1:57" x14ac:dyDescent="0.25">
      <c r="AT46" s="35"/>
      <c r="AU46" s="25"/>
      <c r="AV46" s="25"/>
      <c r="AW46" s="25"/>
      <c r="AX46" s="25"/>
      <c r="AY46" s="25"/>
    </row>
  </sheetData>
  <mergeCells count="1">
    <mergeCell ref="B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9A2F-2C36-4AF5-8D38-DA254FE8D10C}">
  <dimension ref="B1:Y172"/>
  <sheetViews>
    <sheetView zoomScale="81" zoomScaleNormal="43" workbookViewId="0">
      <selection activeCell="L18" sqref="L18"/>
    </sheetView>
  </sheetViews>
  <sheetFormatPr defaultRowHeight="15" x14ac:dyDescent="0.25"/>
  <sheetData>
    <row r="1" spans="2:25" x14ac:dyDescent="0.25">
      <c r="B1" s="121" t="s">
        <v>232</v>
      </c>
    </row>
    <row r="2" spans="2:25" x14ac:dyDescent="0.25">
      <c r="B2" s="5"/>
      <c r="C2" s="5" t="s">
        <v>3</v>
      </c>
      <c r="D2" s="5" t="s">
        <v>41</v>
      </c>
      <c r="E2" s="5" t="s">
        <v>43</v>
      </c>
      <c r="F2" s="5" t="s">
        <v>44</v>
      </c>
      <c r="G2" s="5" t="s">
        <v>45</v>
      </c>
      <c r="H2" s="5" t="s">
        <v>46</v>
      </c>
      <c r="I2" s="5" t="s">
        <v>47</v>
      </c>
      <c r="J2" s="5" t="s">
        <v>48</v>
      </c>
      <c r="K2" s="5"/>
    </row>
    <row r="3" spans="2:25" x14ac:dyDescent="0.25">
      <c r="B3" s="260" t="s">
        <v>58</v>
      </c>
      <c r="C3" s="107">
        <v>9</v>
      </c>
      <c r="D3" s="107">
        <v>0</v>
      </c>
      <c r="E3" s="107">
        <v>9</v>
      </c>
      <c r="F3" s="107">
        <v>10</v>
      </c>
      <c r="G3" s="107">
        <v>9</v>
      </c>
      <c r="H3" s="107">
        <v>9</v>
      </c>
      <c r="I3" s="107">
        <v>8</v>
      </c>
      <c r="J3" s="142">
        <v>9</v>
      </c>
      <c r="K3" s="91"/>
      <c r="L3" s="215"/>
      <c r="M3" s="5"/>
      <c r="N3" s="106" t="s">
        <v>57</v>
      </c>
      <c r="O3" s="107" t="s">
        <v>3</v>
      </c>
      <c r="P3" s="107" t="s">
        <v>41</v>
      </c>
      <c r="Q3" s="107" t="s">
        <v>43</v>
      </c>
      <c r="R3" s="107" t="s">
        <v>44</v>
      </c>
      <c r="S3" s="107" t="s">
        <v>45</v>
      </c>
      <c r="T3" s="107" t="s">
        <v>46</v>
      </c>
      <c r="U3" s="107" t="s">
        <v>47</v>
      </c>
      <c r="V3" s="108" t="s">
        <v>48</v>
      </c>
      <c r="X3" s="123"/>
      <c r="Y3" s="123"/>
    </row>
    <row r="4" spans="2:25" x14ac:dyDescent="0.25">
      <c r="B4" s="261"/>
      <c r="C4" s="109">
        <v>9</v>
      </c>
      <c r="D4" s="109">
        <v>8</v>
      </c>
      <c r="E4" s="109">
        <v>9</v>
      </c>
      <c r="F4" s="109">
        <v>10</v>
      </c>
      <c r="G4" s="109">
        <v>8</v>
      </c>
      <c r="H4" s="109">
        <v>8</v>
      </c>
      <c r="I4" s="109">
        <v>9</v>
      </c>
      <c r="J4" s="6">
        <v>9</v>
      </c>
      <c r="K4" s="91"/>
      <c r="L4" s="91"/>
      <c r="M4" s="109"/>
      <c r="N4" s="3">
        <v>5</v>
      </c>
      <c r="O4" s="91">
        <v>0</v>
      </c>
      <c r="P4" s="91"/>
      <c r="Q4" s="91"/>
      <c r="R4" s="91"/>
      <c r="S4" s="91"/>
      <c r="T4" s="91"/>
      <c r="U4" s="91"/>
      <c r="V4" s="6"/>
      <c r="X4" s="131" t="s">
        <v>226</v>
      </c>
      <c r="Y4" s="123"/>
    </row>
    <row r="5" spans="2:25" x14ac:dyDescent="0.25">
      <c r="B5" s="261"/>
      <c r="C5" s="109">
        <v>9.5</v>
      </c>
      <c r="D5" s="109">
        <v>8.5</v>
      </c>
      <c r="E5" s="109">
        <v>9.5</v>
      </c>
      <c r="F5" s="109">
        <v>10</v>
      </c>
      <c r="G5" s="109">
        <v>8</v>
      </c>
      <c r="H5" s="109">
        <v>8</v>
      </c>
      <c r="I5" s="109">
        <v>8</v>
      </c>
      <c r="J5" s="6">
        <v>9</v>
      </c>
      <c r="K5" s="91"/>
      <c r="L5" s="91"/>
      <c r="M5" s="109"/>
      <c r="N5" s="3">
        <v>5</v>
      </c>
      <c r="O5" s="109">
        <v>0</v>
      </c>
      <c r="P5" s="109"/>
      <c r="Q5" s="109"/>
      <c r="R5" s="109"/>
      <c r="S5" s="109"/>
      <c r="T5" s="109"/>
      <c r="U5" s="109"/>
      <c r="V5" s="6"/>
      <c r="X5" s="131" t="s">
        <v>227</v>
      </c>
      <c r="Y5" s="123"/>
    </row>
    <row r="6" spans="2:25" x14ac:dyDescent="0.25">
      <c r="B6" s="261"/>
      <c r="C6" s="109">
        <v>9.5</v>
      </c>
      <c r="D6" s="109">
        <v>8</v>
      </c>
      <c r="E6" s="109">
        <v>9.5</v>
      </c>
      <c r="F6" s="109">
        <v>10</v>
      </c>
      <c r="G6" s="109">
        <v>8</v>
      </c>
      <c r="H6" s="109">
        <v>8</v>
      </c>
      <c r="I6" s="109">
        <v>9</v>
      </c>
      <c r="J6" s="6">
        <v>9.5</v>
      </c>
      <c r="K6" s="91"/>
      <c r="L6" s="91"/>
      <c r="M6" s="109"/>
      <c r="N6" s="3">
        <v>5</v>
      </c>
      <c r="O6" s="109">
        <v>0</v>
      </c>
      <c r="P6" s="109"/>
      <c r="Q6" s="109"/>
      <c r="R6" s="109"/>
      <c r="S6" s="109"/>
      <c r="T6" s="109"/>
      <c r="U6" s="109"/>
      <c r="V6" s="6"/>
      <c r="X6" s="123"/>
      <c r="Y6" s="123"/>
    </row>
    <row r="7" spans="2:25" x14ac:dyDescent="0.25">
      <c r="B7" s="261"/>
      <c r="C7" s="109">
        <v>9.5</v>
      </c>
      <c r="D7" s="109">
        <v>8</v>
      </c>
      <c r="E7" s="109">
        <v>10</v>
      </c>
      <c r="F7" s="109">
        <v>9</v>
      </c>
      <c r="G7" s="109">
        <v>8</v>
      </c>
      <c r="H7" s="109">
        <v>9.5</v>
      </c>
      <c r="I7" s="109">
        <v>9</v>
      </c>
      <c r="J7" s="6">
        <v>9.5</v>
      </c>
      <c r="K7" s="91"/>
      <c r="L7" s="91"/>
      <c r="M7" s="109"/>
      <c r="N7" s="3">
        <v>5</v>
      </c>
      <c r="O7" s="109">
        <v>0</v>
      </c>
      <c r="P7" s="109"/>
      <c r="Q7" s="109"/>
      <c r="R7" s="109"/>
      <c r="S7" s="109"/>
      <c r="T7" s="109"/>
      <c r="U7" s="109"/>
      <c r="V7" s="6"/>
      <c r="X7" s="123"/>
      <c r="Y7" s="123"/>
    </row>
    <row r="8" spans="2:25" x14ac:dyDescent="0.25">
      <c r="B8" s="261"/>
      <c r="C8" s="109">
        <v>9.5</v>
      </c>
      <c r="D8" s="109">
        <v>10</v>
      </c>
      <c r="E8" s="109">
        <v>10</v>
      </c>
      <c r="F8" s="109">
        <v>9</v>
      </c>
      <c r="G8" s="109">
        <v>9</v>
      </c>
      <c r="H8" s="109">
        <v>9.5</v>
      </c>
      <c r="I8" s="109">
        <v>9</v>
      </c>
      <c r="J8" s="6">
        <v>9.5</v>
      </c>
      <c r="K8" s="91"/>
      <c r="L8" s="91"/>
      <c r="M8" s="109"/>
      <c r="N8" s="3">
        <v>5</v>
      </c>
      <c r="O8" s="109">
        <v>0</v>
      </c>
      <c r="P8" s="109"/>
      <c r="Q8" s="109"/>
      <c r="R8" s="109"/>
      <c r="S8" s="109"/>
      <c r="T8" s="109"/>
      <c r="U8" s="109"/>
      <c r="V8" s="6"/>
      <c r="X8" s="123"/>
      <c r="Y8" s="123"/>
    </row>
    <row r="9" spans="2:25" x14ac:dyDescent="0.25">
      <c r="B9" s="261"/>
      <c r="C9" s="109">
        <v>9.5</v>
      </c>
      <c r="D9" s="109">
        <v>10</v>
      </c>
      <c r="E9" s="109">
        <v>10</v>
      </c>
      <c r="F9" s="109">
        <v>9</v>
      </c>
      <c r="G9" s="109">
        <v>9.5</v>
      </c>
      <c r="H9" s="109">
        <v>9.5</v>
      </c>
      <c r="I9" s="109">
        <v>9</v>
      </c>
      <c r="J9" s="6">
        <v>9.5</v>
      </c>
      <c r="K9" s="91"/>
      <c r="L9" s="91"/>
      <c r="M9" s="109"/>
      <c r="N9" s="3">
        <v>5</v>
      </c>
      <c r="O9" s="109">
        <v>0</v>
      </c>
      <c r="P9" s="109"/>
      <c r="Q9" s="109"/>
      <c r="R9" s="109"/>
      <c r="S9" s="109"/>
      <c r="T9" s="109"/>
      <c r="U9" s="109"/>
      <c r="V9" s="6"/>
      <c r="X9" s="123"/>
      <c r="Y9" s="123"/>
    </row>
    <row r="10" spans="2:25" x14ac:dyDescent="0.25">
      <c r="B10" s="261"/>
      <c r="C10" s="109">
        <v>9.5</v>
      </c>
      <c r="D10" s="109">
        <v>10</v>
      </c>
      <c r="E10" s="109">
        <v>10</v>
      </c>
      <c r="F10" s="109">
        <v>9</v>
      </c>
      <c r="G10" s="109">
        <v>10</v>
      </c>
      <c r="H10" s="109">
        <v>9.5</v>
      </c>
      <c r="I10" s="109">
        <v>9.5</v>
      </c>
      <c r="J10" s="6">
        <v>9.5</v>
      </c>
      <c r="K10" s="91"/>
      <c r="L10" s="91"/>
      <c r="M10" s="109"/>
      <c r="N10" s="3">
        <v>5</v>
      </c>
      <c r="O10" s="109">
        <v>0</v>
      </c>
      <c r="P10" s="109"/>
      <c r="Q10" s="109"/>
      <c r="R10" s="109"/>
      <c r="S10" s="109"/>
      <c r="T10" s="109"/>
      <c r="U10" s="109"/>
      <c r="V10" s="6"/>
      <c r="X10" s="123"/>
      <c r="Y10" s="123"/>
    </row>
    <row r="11" spans="2:25" x14ac:dyDescent="0.25">
      <c r="B11" s="261"/>
      <c r="C11" s="109">
        <v>9.5</v>
      </c>
      <c r="D11" s="109">
        <v>10</v>
      </c>
      <c r="E11" s="109">
        <v>10</v>
      </c>
      <c r="F11" s="109">
        <v>9</v>
      </c>
      <c r="G11" s="109">
        <v>10</v>
      </c>
      <c r="H11" s="109">
        <v>10</v>
      </c>
      <c r="I11" s="109">
        <v>9</v>
      </c>
      <c r="J11" s="6">
        <v>9.5</v>
      </c>
      <c r="K11" s="91"/>
      <c r="L11" s="115"/>
      <c r="M11" s="109"/>
      <c r="N11" s="3">
        <v>5</v>
      </c>
      <c r="O11" s="109">
        <v>0</v>
      </c>
      <c r="P11" s="109"/>
      <c r="Q11" s="109"/>
      <c r="R11" s="109"/>
      <c r="S11" s="109"/>
      <c r="T11" s="109"/>
      <c r="U11" s="109"/>
      <c r="V11" s="6"/>
      <c r="X11" s="123"/>
      <c r="Y11" s="123"/>
    </row>
    <row r="12" spans="2:25" x14ac:dyDescent="0.25">
      <c r="B12" s="261"/>
      <c r="C12" s="109">
        <v>10</v>
      </c>
      <c r="D12" s="109">
        <v>10</v>
      </c>
      <c r="E12" s="109">
        <v>10</v>
      </c>
      <c r="F12" s="109">
        <v>8</v>
      </c>
      <c r="G12" s="109">
        <v>10</v>
      </c>
      <c r="H12" s="109">
        <v>9.5</v>
      </c>
      <c r="I12" s="109">
        <v>9</v>
      </c>
      <c r="J12" s="6">
        <v>9.5</v>
      </c>
      <c r="K12" s="109"/>
      <c r="L12" s="95"/>
      <c r="M12" s="109"/>
      <c r="N12" s="3">
        <v>5</v>
      </c>
      <c r="O12" s="109">
        <v>0</v>
      </c>
      <c r="P12" s="109"/>
      <c r="Q12" s="109"/>
      <c r="R12" s="109"/>
      <c r="S12" s="109"/>
      <c r="T12" s="109"/>
      <c r="U12" s="109"/>
      <c r="V12" s="6"/>
      <c r="X12" s="53"/>
      <c r="Y12" s="109"/>
    </row>
    <row r="13" spans="2:25" x14ac:dyDescent="0.25">
      <c r="B13" s="261"/>
      <c r="C13" s="109">
        <v>10</v>
      </c>
      <c r="D13" s="109">
        <v>10</v>
      </c>
      <c r="E13" s="109">
        <v>10</v>
      </c>
      <c r="F13" s="109">
        <v>7.5</v>
      </c>
      <c r="G13" s="109">
        <v>9.5</v>
      </c>
      <c r="H13" s="109">
        <v>9.5</v>
      </c>
      <c r="I13" s="109">
        <v>8</v>
      </c>
      <c r="J13" s="6">
        <v>9.5</v>
      </c>
      <c r="K13" s="109"/>
      <c r="L13" s="98"/>
      <c r="M13" s="109"/>
      <c r="N13" s="3">
        <v>5</v>
      </c>
      <c r="O13" s="109">
        <v>0</v>
      </c>
      <c r="P13" s="109"/>
      <c r="Q13" s="109"/>
      <c r="R13" s="109"/>
      <c r="S13" s="109"/>
      <c r="T13" s="109"/>
      <c r="U13" s="109"/>
      <c r="V13" s="6"/>
      <c r="X13" s="53"/>
      <c r="Y13" s="109"/>
    </row>
    <row r="14" spans="2:25" x14ac:dyDescent="0.25">
      <c r="B14" s="261"/>
      <c r="C14" s="109">
        <v>9</v>
      </c>
      <c r="D14" s="109">
        <v>10</v>
      </c>
      <c r="E14" s="109">
        <v>10</v>
      </c>
      <c r="F14" s="109">
        <v>9</v>
      </c>
      <c r="G14" s="109">
        <v>9.5</v>
      </c>
      <c r="H14" s="109">
        <v>10</v>
      </c>
      <c r="I14" s="109">
        <v>8.5</v>
      </c>
      <c r="J14" s="6">
        <v>10</v>
      </c>
      <c r="K14" s="109"/>
      <c r="L14" s="98"/>
      <c r="N14" s="3">
        <v>5</v>
      </c>
      <c r="O14" s="109">
        <v>0</v>
      </c>
      <c r="P14" s="109"/>
      <c r="Q14" s="109"/>
      <c r="R14" s="109"/>
      <c r="S14" s="109"/>
      <c r="T14" s="109"/>
      <c r="U14" s="109"/>
      <c r="V14" s="6"/>
      <c r="X14" s="53"/>
      <c r="Y14" s="109"/>
    </row>
    <row r="15" spans="2:25" x14ac:dyDescent="0.25">
      <c r="B15" s="261"/>
      <c r="C15" s="109">
        <v>10</v>
      </c>
      <c r="D15" s="109">
        <v>10</v>
      </c>
      <c r="E15" s="109">
        <v>10</v>
      </c>
      <c r="F15" s="109">
        <v>10</v>
      </c>
      <c r="G15" s="109">
        <v>10</v>
      </c>
      <c r="H15" s="109">
        <v>10</v>
      </c>
      <c r="I15" s="109">
        <v>10</v>
      </c>
      <c r="J15" s="6">
        <v>10</v>
      </c>
      <c r="K15" s="109"/>
      <c r="L15" s="98"/>
      <c r="N15" s="3">
        <v>5</v>
      </c>
      <c r="O15" s="109">
        <v>0</v>
      </c>
      <c r="P15" s="109"/>
      <c r="Q15" s="109"/>
      <c r="R15" s="109"/>
      <c r="S15" s="109"/>
      <c r="T15" s="109"/>
      <c r="U15" s="109"/>
      <c r="V15" s="6"/>
      <c r="X15" s="53"/>
      <c r="Y15" s="109"/>
    </row>
    <row r="16" spans="2:25" x14ac:dyDescent="0.25">
      <c r="B16" s="261"/>
      <c r="C16" s="109">
        <v>10</v>
      </c>
      <c r="D16" s="109">
        <v>10</v>
      </c>
      <c r="E16" s="109">
        <v>10</v>
      </c>
      <c r="F16" s="109">
        <v>10</v>
      </c>
      <c r="G16" s="109">
        <v>9.5</v>
      </c>
      <c r="H16" s="109">
        <v>10</v>
      </c>
      <c r="I16" s="109">
        <v>10</v>
      </c>
      <c r="J16" s="6">
        <v>10</v>
      </c>
      <c r="K16" s="109"/>
      <c r="L16" s="98"/>
      <c r="N16" s="3">
        <v>5</v>
      </c>
      <c r="O16" s="109">
        <v>0</v>
      </c>
      <c r="P16" s="109"/>
      <c r="Q16" s="109"/>
      <c r="R16" s="109"/>
      <c r="S16" s="109"/>
      <c r="T16" s="109"/>
      <c r="U16" s="109"/>
      <c r="V16" s="6"/>
      <c r="X16" s="53"/>
      <c r="Y16" s="109"/>
    </row>
    <row r="17" spans="2:25" x14ac:dyDescent="0.25">
      <c r="B17" s="261"/>
      <c r="C17" s="109">
        <v>10</v>
      </c>
      <c r="D17" s="109">
        <v>10</v>
      </c>
      <c r="E17" s="109">
        <v>10</v>
      </c>
      <c r="F17" s="109">
        <v>10</v>
      </c>
      <c r="G17" s="109">
        <v>10</v>
      </c>
      <c r="H17" s="109">
        <v>10</v>
      </c>
      <c r="I17" s="109">
        <v>10</v>
      </c>
      <c r="J17" s="6">
        <v>10</v>
      </c>
      <c r="K17" s="109"/>
      <c r="L17" s="98"/>
      <c r="N17" s="3">
        <v>5</v>
      </c>
      <c r="O17" s="109">
        <v>0</v>
      </c>
      <c r="P17" s="109"/>
      <c r="Q17" s="109"/>
      <c r="R17" s="109"/>
      <c r="S17" s="109"/>
      <c r="T17" s="109"/>
      <c r="U17" s="109"/>
      <c r="V17" s="6"/>
      <c r="X17" s="53"/>
      <c r="Y17" s="109"/>
    </row>
    <row r="18" spans="2:25" x14ac:dyDescent="0.25">
      <c r="B18" s="261"/>
      <c r="C18" s="109">
        <v>10</v>
      </c>
      <c r="D18" s="109">
        <v>10</v>
      </c>
      <c r="E18" s="109">
        <v>10</v>
      </c>
      <c r="F18" s="109">
        <v>10</v>
      </c>
      <c r="G18" s="109">
        <v>10</v>
      </c>
      <c r="H18" s="109">
        <v>10</v>
      </c>
      <c r="I18" s="109">
        <v>10</v>
      </c>
      <c r="J18" s="6">
        <v>10</v>
      </c>
      <c r="K18" s="109"/>
      <c r="L18" s="98"/>
      <c r="N18" s="3">
        <v>5</v>
      </c>
      <c r="O18" s="109">
        <v>0</v>
      </c>
      <c r="P18" s="109"/>
      <c r="Q18" s="109"/>
      <c r="R18" s="109"/>
      <c r="S18" s="109"/>
      <c r="T18" s="109"/>
      <c r="U18" s="109"/>
      <c r="V18" s="6"/>
      <c r="X18" s="53"/>
      <c r="Y18" s="109"/>
    </row>
    <row r="19" spans="2:25" x14ac:dyDescent="0.25">
      <c r="B19" s="261"/>
      <c r="C19" s="109">
        <v>10</v>
      </c>
      <c r="D19" s="109">
        <v>10</v>
      </c>
      <c r="E19" s="109">
        <v>10</v>
      </c>
      <c r="F19" s="109">
        <v>9.5</v>
      </c>
      <c r="G19" s="109">
        <v>9.5</v>
      </c>
      <c r="H19" s="109">
        <v>10</v>
      </c>
      <c r="I19" s="109">
        <v>10</v>
      </c>
      <c r="J19" s="6">
        <v>10</v>
      </c>
      <c r="K19" s="109"/>
      <c r="L19" s="98"/>
      <c r="N19" s="3">
        <v>5</v>
      </c>
      <c r="O19" s="109">
        <v>0</v>
      </c>
      <c r="P19" s="109"/>
      <c r="Q19" s="109"/>
      <c r="R19" s="109"/>
      <c r="S19" s="109"/>
      <c r="T19" s="109"/>
      <c r="U19" s="109"/>
      <c r="V19" s="6"/>
      <c r="X19" s="53"/>
      <c r="Y19" s="109"/>
    </row>
    <row r="20" spans="2:25" x14ac:dyDescent="0.25">
      <c r="B20" s="261"/>
      <c r="C20" s="109">
        <v>10</v>
      </c>
      <c r="D20" s="109">
        <v>10</v>
      </c>
      <c r="E20" s="109">
        <v>10</v>
      </c>
      <c r="F20" s="109">
        <v>10</v>
      </c>
      <c r="G20" s="109">
        <v>9.5</v>
      </c>
      <c r="H20" s="109">
        <v>10</v>
      </c>
      <c r="I20" s="109">
        <v>10</v>
      </c>
      <c r="J20" s="6">
        <v>9</v>
      </c>
      <c r="K20" s="109"/>
      <c r="L20" s="98"/>
      <c r="N20" s="3">
        <v>5</v>
      </c>
      <c r="O20" s="109">
        <v>0</v>
      </c>
      <c r="P20" s="109"/>
      <c r="Q20" s="109"/>
      <c r="R20" s="109"/>
      <c r="S20" s="109"/>
      <c r="T20" s="109"/>
      <c r="U20" s="109"/>
      <c r="V20" s="6"/>
      <c r="X20" s="53"/>
      <c r="Y20" s="109"/>
    </row>
    <row r="21" spans="2:25" x14ac:dyDescent="0.25">
      <c r="B21" s="261"/>
      <c r="C21" s="109">
        <v>10</v>
      </c>
      <c r="D21" s="109">
        <v>10</v>
      </c>
      <c r="E21" s="109">
        <v>10</v>
      </c>
      <c r="F21" s="109">
        <v>10</v>
      </c>
      <c r="G21" s="109">
        <v>10</v>
      </c>
      <c r="H21" s="109">
        <v>10</v>
      </c>
      <c r="I21" s="109">
        <v>10</v>
      </c>
      <c r="J21" s="6">
        <v>9</v>
      </c>
      <c r="K21" s="109"/>
      <c r="L21" s="98"/>
      <c r="N21" s="3">
        <v>5</v>
      </c>
      <c r="O21" s="109">
        <v>0</v>
      </c>
      <c r="P21" s="109"/>
      <c r="Q21" s="109"/>
      <c r="R21" s="109"/>
      <c r="S21" s="109"/>
      <c r="T21" s="109"/>
      <c r="U21" s="109"/>
      <c r="V21" s="6"/>
      <c r="X21" s="53"/>
      <c r="Y21" s="109"/>
    </row>
    <row r="22" spans="2:25" x14ac:dyDescent="0.25">
      <c r="B22" s="262"/>
      <c r="C22" s="18">
        <v>10</v>
      </c>
      <c r="D22" s="18">
        <v>9</v>
      </c>
      <c r="E22" s="18">
        <v>10</v>
      </c>
      <c r="F22" s="18">
        <v>10</v>
      </c>
      <c r="G22" s="18">
        <v>9</v>
      </c>
      <c r="H22" s="18">
        <v>10</v>
      </c>
      <c r="I22" s="18">
        <v>10</v>
      </c>
      <c r="J22" s="19">
        <v>9</v>
      </c>
      <c r="K22" s="109"/>
      <c r="L22" s="98"/>
      <c r="N22" s="3">
        <v>5</v>
      </c>
      <c r="O22" s="109">
        <v>0</v>
      </c>
      <c r="P22" s="109"/>
      <c r="Q22" s="109"/>
      <c r="R22" s="109"/>
      <c r="S22" s="109"/>
      <c r="T22" s="109"/>
      <c r="U22" s="109"/>
      <c r="V22" s="6"/>
      <c r="X22" s="53"/>
      <c r="Y22" s="109"/>
    </row>
    <row r="23" spans="2:25" x14ac:dyDescent="0.25">
      <c r="B23" s="260" t="s">
        <v>59</v>
      </c>
      <c r="C23" s="107">
        <v>9</v>
      </c>
      <c r="D23" s="107">
        <v>0</v>
      </c>
      <c r="E23" s="107">
        <v>0</v>
      </c>
      <c r="F23" s="107">
        <v>0</v>
      </c>
      <c r="G23" s="107">
        <v>8</v>
      </c>
      <c r="H23" s="107">
        <v>9</v>
      </c>
      <c r="I23" s="107">
        <v>7</v>
      </c>
      <c r="J23" s="108">
        <v>0</v>
      </c>
      <c r="K23" s="109"/>
      <c r="L23" s="98"/>
      <c r="N23" s="3">
        <v>5</v>
      </c>
      <c r="O23" s="109">
        <v>0</v>
      </c>
      <c r="P23" s="109"/>
      <c r="Q23" s="109"/>
      <c r="R23" s="109"/>
      <c r="S23" s="109"/>
      <c r="T23" s="109"/>
      <c r="U23" s="109"/>
      <c r="V23" s="6"/>
      <c r="X23" s="53"/>
      <c r="Y23" s="109"/>
    </row>
    <row r="24" spans="2:25" x14ac:dyDescent="0.25">
      <c r="B24" s="261"/>
      <c r="C24" s="91">
        <v>9</v>
      </c>
      <c r="D24" s="91">
        <v>9</v>
      </c>
      <c r="E24" s="91">
        <v>10</v>
      </c>
      <c r="F24" s="91">
        <v>8</v>
      </c>
      <c r="G24" s="91">
        <v>8</v>
      </c>
      <c r="H24" s="91">
        <v>9</v>
      </c>
      <c r="I24" s="91">
        <v>7.5</v>
      </c>
      <c r="J24" s="6">
        <v>7.5</v>
      </c>
      <c r="K24" s="109"/>
      <c r="L24" s="98"/>
      <c r="N24" s="3">
        <v>1</v>
      </c>
      <c r="O24" s="109"/>
      <c r="P24" s="109">
        <v>1</v>
      </c>
      <c r="Q24" s="109"/>
      <c r="R24" s="109"/>
      <c r="S24" s="109"/>
      <c r="T24" s="109"/>
      <c r="U24" s="109"/>
      <c r="V24" s="6"/>
      <c r="X24" s="53"/>
      <c r="Y24" s="109"/>
    </row>
    <row r="25" spans="2:25" x14ac:dyDescent="0.25">
      <c r="B25" s="261"/>
      <c r="C25" s="91">
        <v>9.5</v>
      </c>
      <c r="D25" s="91">
        <v>9</v>
      </c>
      <c r="E25" s="91">
        <v>10</v>
      </c>
      <c r="F25" s="91">
        <v>8</v>
      </c>
      <c r="G25" s="91">
        <v>8</v>
      </c>
      <c r="H25" s="91">
        <v>9</v>
      </c>
      <c r="I25" s="91">
        <v>7</v>
      </c>
      <c r="J25" s="6">
        <v>9</v>
      </c>
      <c r="K25" s="109"/>
      <c r="L25" s="98"/>
      <c r="N25" s="3">
        <v>5</v>
      </c>
      <c r="O25" s="109"/>
      <c r="P25" s="109">
        <v>0</v>
      </c>
      <c r="Q25" s="109"/>
      <c r="R25" s="109"/>
      <c r="S25" s="109"/>
      <c r="T25" s="109"/>
      <c r="U25" s="109"/>
      <c r="V25" s="6"/>
    </row>
    <row r="26" spans="2:25" x14ac:dyDescent="0.25">
      <c r="B26" s="261"/>
      <c r="C26" s="91">
        <v>9.5</v>
      </c>
      <c r="D26" s="91">
        <v>9</v>
      </c>
      <c r="E26" s="91">
        <v>10</v>
      </c>
      <c r="F26" s="91">
        <v>9.5</v>
      </c>
      <c r="G26" s="91">
        <v>8</v>
      </c>
      <c r="H26" s="91">
        <v>9</v>
      </c>
      <c r="I26" s="91">
        <v>9</v>
      </c>
      <c r="J26" s="6">
        <v>10</v>
      </c>
      <c r="K26" s="109"/>
      <c r="L26" s="98"/>
      <c r="N26" s="3">
        <v>5</v>
      </c>
      <c r="O26" s="109"/>
      <c r="P26" s="109">
        <v>0</v>
      </c>
      <c r="Q26" s="109"/>
      <c r="R26" s="109"/>
      <c r="S26" s="109"/>
      <c r="T26" s="109"/>
      <c r="U26" s="109"/>
      <c r="V26" s="6"/>
    </row>
    <row r="27" spans="2:25" x14ac:dyDescent="0.25">
      <c r="B27" s="261"/>
      <c r="C27" s="91">
        <v>9.5</v>
      </c>
      <c r="D27" s="91">
        <v>9</v>
      </c>
      <c r="E27" s="91">
        <v>10</v>
      </c>
      <c r="F27" s="91">
        <v>10</v>
      </c>
      <c r="G27" s="91">
        <v>8</v>
      </c>
      <c r="H27" s="91">
        <v>9</v>
      </c>
      <c r="I27" s="91">
        <v>10</v>
      </c>
      <c r="J27" s="6">
        <v>10</v>
      </c>
      <c r="K27" s="109"/>
      <c r="L27" s="98"/>
      <c r="N27" s="3">
        <v>5</v>
      </c>
      <c r="O27" s="109"/>
      <c r="P27" s="109">
        <v>0</v>
      </c>
      <c r="Q27" s="109"/>
      <c r="R27" s="109"/>
      <c r="S27" s="109"/>
      <c r="T27" s="109"/>
      <c r="U27" s="109"/>
      <c r="V27" s="6"/>
    </row>
    <row r="28" spans="2:25" x14ac:dyDescent="0.25">
      <c r="B28" s="261"/>
      <c r="C28" s="91">
        <v>9.5</v>
      </c>
      <c r="D28" s="91">
        <v>9</v>
      </c>
      <c r="E28" s="91">
        <v>10</v>
      </c>
      <c r="F28" s="91">
        <v>8.5</v>
      </c>
      <c r="G28" s="91">
        <v>9</v>
      </c>
      <c r="H28" s="91">
        <v>9</v>
      </c>
      <c r="I28" s="91">
        <v>10</v>
      </c>
      <c r="J28" s="6">
        <v>10</v>
      </c>
      <c r="K28" s="109"/>
      <c r="L28" s="98"/>
      <c r="N28" s="3">
        <v>5</v>
      </c>
      <c r="O28" s="109"/>
      <c r="P28" s="109">
        <v>0</v>
      </c>
      <c r="Q28" s="109"/>
      <c r="R28" s="109"/>
      <c r="S28" s="109"/>
      <c r="T28" s="109"/>
      <c r="U28" s="109"/>
      <c r="V28" s="6"/>
    </row>
    <row r="29" spans="2:25" x14ac:dyDescent="0.25">
      <c r="B29" s="261"/>
      <c r="C29" s="91">
        <v>10</v>
      </c>
      <c r="D29" s="91">
        <v>9.5</v>
      </c>
      <c r="E29" s="91">
        <v>10</v>
      </c>
      <c r="F29" s="91">
        <v>9.5</v>
      </c>
      <c r="G29" s="91">
        <v>9</v>
      </c>
      <c r="H29" s="91">
        <v>9</v>
      </c>
      <c r="I29" s="91">
        <v>10</v>
      </c>
      <c r="J29" s="6">
        <v>9.5</v>
      </c>
      <c r="K29" s="109"/>
      <c r="L29" s="98"/>
      <c r="N29" s="3">
        <v>5</v>
      </c>
      <c r="O29" s="109"/>
      <c r="P29" s="109">
        <v>0</v>
      </c>
      <c r="Q29" s="109"/>
      <c r="R29" s="109"/>
      <c r="S29" s="109"/>
      <c r="T29" s="109"/>
      <c r="U29" s="109"/>
      <c r="V29" s="6"/>
    </row>
    <row r="30" spans="2:25" x14ac:dyDescent="0.25">
      <c r="B30" s="261"/>
      <c r="C30" s="91">
        <v>10</v>
      </c>
      <c r="D30" s="91">
        <v>9.5</v>
      </c>
      <c r="E30" s="91">
        <v>10</v>
      </c>
      <c r="F30" s="91">
        <v>9.5</v>
      </c>
      <c r="G30" s="91">
        <v>10</v>
      </c>
      <c r="H30" s="91">
        <v>9</v>
      </c>
      <c r="I30" s="91">
        <v>10</v>
      </c>
      <c r="J30" s="6">
        <v>8</v>
      </c>
      <c r="K30" s="109"/>
      <c r="L30" s="98"/>
      <c r="N30" s="3">
        <v>5</v>
      </c>
      <c r="O30" s="109"/>
      <c r="P30" s="109">
        <v>0</v>
      </c>
      <c r="Q30" s="109"/>
      <c r="R30" s="109"/>
      <c r="S30" s="109"/>
      <c r="T30" s="109"/>
      <c r="U30" s="109"/>
      <c r="V30" s="6"/>
    </row>
    <row r="31" spans="2:25" x14ac:dyDescent="0.25">
      <c r="B31" s="261"/>
      <c r="C31" s="91">
        <v>10</v>
      </c>
      <c r="D31" s="91">
        <v>9</v>
      </c>
      <c r="E31" s="91">
        <v>10</v>
      </c>
      <c r="F31" s="91">
        <v>9</v>
      </c>
      <c r="G31" s="91">
        <v>9</v>
      </c>
      <c r="H31" s="91">
        <v>9</v>
      </c>
      <c r="I31" s="91">
        <v>10</v>
      </c>
      <c r="J31" s="6">
        <v>9</v>
      </c>
      <c r="K31" s="109"/>
      <c r="L31" s="98"/>
      <c r="N31" s="3">
        <v>5</v>
      </c>
      <c r="O31" s="109"/>
      <c r="P31" s="109">
        <v>0</v>
      </c>
      <c r="Q31" s="109"/>
      <c r="R31" s="109"/>
      <c r="S31" s="109"/>
      <c r="T31" s="109"/>
      <c r="U31" s="109"/>
      <c r="V31" s="6"/>
    </row>
    <row r="32" spans="2:25" x14ac:dyDescent="0.25">
      <c r="B32" s="261"/>
      <c r="C32" s="91">
        <v>10</v>
      </c>
      <c r="D32" s="91">
        <v>9</v>
      </c>
      <c r="E32" s="91">
        <v>10</v>
      </c>
      <c r="F32" s="91">
        <v>9</v>
      </c>
      <c r="G32" s="91">
        <v>8</v>
      </c>
      <c r="H32" s="91">
        <v>9</v>
      </c>
      <c r="I32" s="91">
        <v>10</v>
      </c>
      <c r="J32" s="6">
        <v>9</v>
      </c>
      <c r="K32" s="109"/>
      <c r="L32" s="98"/>
      <c r="N32" s="3">
        <v>5</v>
      </c>
      <c r="O32" s="109"/>
      <c r="P32" s="109">
        <v>0</v>
      </c>
      <c r="Q32" s="109"/>
      <c r="R32" s="109"/>
      <c r="S32" s="109"/>
      <c r="T32" s="109"/>
      <c r="U32" s="109"/>
      <c r="V32" s="6"/>
    </row>
    <row r="33" spans="2:22" x14ac:dyDescent="0.25">
      <c r="B33" s="261"/>
      <c r="C33" s="91">
        <v>10</v>
      </c>
      <c r="D33" s="91">
        <v>10</v>
      </c>
      <c r="E33" s="91">
        <v>10</v>
      </c>
      <c r="F33" s="91">
        <v>9.5</v>
      </c>
      <c r="G33" s="91">
        <v>9</v>
      </c>
      <c r="H33" s="91">
        <v>9</v>
      </c>
      <c r="I33" s="91">
        <v>10</v>
      </c>
      <c r="J33" s="6">
        <v>9</v>
      </c>
      <c r="K33" s="109"/>
      <c r="L33" s="98"/>
      <c r="N33" s="3">
        <v>5</v>
      </c>
      <c r="O33" s="109"/>
      <c r="P33" s="109">
        <v>0</v>
      </c>
      <c r="Q33" s="109"/>
      <c r="R33" s="109"/>
      <c r="S33" s="109"/>
      <c r="T33" s="109"/>
      <c r="U33" s="109"/>
      <c r="V33" s="6"/>
    </row>
    <row r="34" spans="2:22" x14ac:dyDescent="0.25">
      <c r="B34" s="261"/>
      <c r="C34" s="91">
        <v>10</v>
      </c>
      <c r="D34" s="91">
        <v>10</v>
      </c>
      <c r="E34" s="91">
        <v>10</v>
      </c>
      <c r="F34" s="91">
        <v>10</v>
      </c>
      <c r="G34" s="91">
        <v>9</v>
      </c>
      <c r="H34" s="91">
        <v>9</v>
      </c>
      <c r="I34" s="91">
        <v>10</v>
      </c>
      <c r="J34" s="6">
        <v>9</v>
      </c>
      <c r="K34" s="109"/>
      <c r="L34" s="98"/>
      <c r="N34" s="3">
        <v>5</v>
      </c>
      <c r="O34" s="109"/>
      <c r="P34" s="109">
        <v>0</v>
      </c>
      <c r="Q34" s="109"/>
      <c r="R34" s="109"/>
      <c r="S34" s="109"/>
      <c r="T34" s="109"/>
      <c r="U34" s="109"/>
      <c r="V34" s="6"/>
    </row>
    <row r="35" spans="2:22" x14ac:dyDescent="0.25">
      <c r="B35" s="261"/>
      <c r="C35" s="91">
        <v>10</v>
      </c>
      <c r="D35" s="91">
        <v>10</v>
      </c>
      <c r="E35" s="91">
        <v>10</v>
      </c>
      <c r="F35" s="91">
        <v>10</v>
      </c>
      <c r="G35" s="91">
        <v>9</v>
      </c>
      <c r="H35" s="91">
        <v>9</v>
      </c>
      <c r="I35" s="91">
        <v>9</v>
      </c>
      <c r="J35" s="6">
        <v>9</v>
      </c>
      <c r="K35" s="109"/>
      <c r="L35" s="115"/>
      <c r="N35" s="3">
        <v>5</v>
      </c>
      <c r="O35" s="109"/>
      <c r="P35" s="109">
        <v>0</v>
      </c>
      <c r="Q35" s="109"/>
      <c r="R35" s="109"/>
      <c r="S35" s="109"/>
      <c r="T35" s="109"/>
      <c r="U35" s="109"/>
      <c r="V35" s="6"/>
    </row>
    <row r="36" spans="2:22" x14ac:dyDescent="0.25">
      <c r="B36" s="261"/>
      <c r="C36" s="91">
        <v>10</v>
      </c>
      <c r="D36" s="91">
        <v>10</v>
      </c>
      <c r="E36" s="91">
        <v>10</v>
      </c>
      <c r="F36" s="91">
        <v>10</v>
      </c>
      <c r="G36" s="91">
        <v>9</v>
      </c>
      <c r="H36" s="91">
        <v>9</v>
      </c>
      <c r="I36" s="91">
        <v>9</v>
      </c>
      <c r="J36" s="6">
        <v>9</v>
      </c>
      <c r="K36" s="109"/>
      <c r="L36" s="130"/>
      <c r="M36" s="109"/>
      <c r="N36" s="3">
        <v>5</v>
      </c>
      <c r="O36" s="109"/>
      <c r="P36" s="109">
        <v>0</v>
      </c>
      <c r="Q36" s="109"/>
      <c r="R36" s="109"/>
      <c r="S36" s="109"/>
      <c r="T36" s="109"/>
      <c r="U36" s="109"/>
      <c r="V36" s="6"/>
    </row>
    <row r="37" spans="2:22" x14ac:dyDescent="0.25">
      <c r="B37" s="261"/>
      <c r="C37" s="91">
        <v>10</v>
      </c>
      <c r="D37" s="91">
        <v>10</v>
      </c>
      <c r="E37" s="91">
        <v>10</v>
      </c>
      <c r="F37" s="91">
        <v>9</v>
      </c>
      <c r="G37" s="91">
        <v>9</v>
      </c>
      <c r="H37" s="91">
        <v>9</v>
      </c>
      <c r="I37" s="91">
        <v>9</v>
      </c>
      <c r="J37" s="6">
        <v>9</v>
      </c>
      <c r="K37" s="109"/>
      <c r="L37" s="130"/>
      <c r="M37" s="109"/>
      <c r="N37" s="3">
        <v>5</v>
      </c>
      <c r="O37" s="109"/>
      <c r="P37" s="109">
        <v>0</v>
      </c>
      <c r="Q37" s="109"/>
      <c r="R37" s="109"/>
      <c r="S37" s="109"/>
      <c r="T37" s="109"/>
      <c r="U37" s="109"/>
      <c r="V37" s="6"/>
    </row>
    <row r="38" spans="2:22" x14ac:dyDescent="0.25">
      <c r="B38" s="261"/>
      <c r="C38" s="91">
        <v>10</v>
      </c>
      <c r="D38" s="91">
        <v>10</v>
      </c>
      <c r="E38" s="91">
        <v>10</v>
      </c>
      <c r="F38" s="91">
        <v>9</v>
      </c>
      <c r="G38" s="91">
        <v>9</v>
      </c>
      <c r="H38" s="91">
        <v>9</v>
      </c>
      <c r="I38" s="91">
        <v>9</v>
      </c>
      <c r="J38" s="6">
        <v>9</v>
      </c>
      <c r="K38" s="109"/>
      <c r="L38" s="98"/>
      <c r="M38" s="109"/>
      <c r="N38" s="3">
        <v>5</v>
      </c>
      <c r="O38" s="109"/>
      <c r="P38" s="109">
        <v>0</v>
      </c>
      <c r="Q38" s="109"/>
      <c r="R38" s="109"/>
      <c r="S38" s="109"/>
      <c r="T38" s="109"/>
      <c r="U38" s="109"/>
      <c r="V38" s="6"/>
    </row>
    <row r="39" spans="2:22" x14ac:dyDescent="0.25">
      <c r="B39" s="261"/>
      <c r="C39" s="91">
        <v>10</v>
      </c>
      <c r="D39" s="91">
        <v>10</v>
      </c>
      <c r="E39" s="91">
        <v>10</v>
      </c>
      <c r="F39" s="91">
        <v>9</v>
      </c>
      <c r="G39" s="91">
        <v>10</v>
      </c>
      <c r="H39" s="91">
        <v>8</v>
      </c>
      <c r="I39" s="91">
        <v>10</v>
      </c>
      <c r="J39" s="6">
        <v>9</v>
      </c>
      <c r="K39" s="109"/>
      <c r="L39" s="98"/>
      <c r="M39" s="109"/>
      <c r="N39" s="3">
        <v>5</v>
      </c>
      <c r="O39" s="109"/>
      <c r="P39" s="109">
        <v>0</v>
      </c>
      <c r="Q39" s="109"/>
      <c r="R39" s="109"/>
      <c r="S39" s="109"/>
      <c r="T39" s="109"/>
      <c r="U39" s="109"/>
      <c r="V39" s="6"/>
    </row>
    <row r="40" spans="2:22" x14ac:dyDescent="0.25">
      <c r="B40" s="261"/>
      <c r="C40" s="91">
        <v>10</v>
      </c>
      <c r="D40" s="91">
        <v>10</v>
      </c>
      <c r="E40" s="91">
        <v>10</v>
      </c>
      <c r="F40" s="91">
        <v>9</v>
      </c>
      <c r="G40" s="91">
        <v>10</v>
      </c>
      <c r="H40" s="91">
        <v>10</v>
      </c>
      <c r="I40" s="91">
        <v>10</v>
      </c>
      <c r="J40" s="6">
        <v>9</v>
      </c>
      <c r="K40" s="109"/>
      <c r="L40" s="98"/>
      <c r="M40" s="109"/>
      <c r="N40" s="3">
        <v>5</v>
      </c>
      <c r="O40" s="109"/>
      <c r="P40" s="109">
        <v>0</v>
      </c>
      <c r="Q40" s="109"/>
      <c r="R40" s="109"/>
      <c r="S40" s="109"/>
      <c r="T40" s="109"/>
      <c r="U40" s="109"/>
      <c r="V40" s="6"/>
    </row>
    <row r="41" spans="2:22" x14ac:dyDescent="0.25">
      <c r="B41" s="261"/>
      <c r="C41" s="91">
        <v>10</v>
      </c>
      <c r="D41" s="91">
        <v>10</v>
      </c>
      <c r="E41" s="91">
        <v>10</v>
      </c>
      <c r="F41" s="91">
        <v>10</v>
      </c>
      <c r="G41" s="91">
        <v>10</v>
      </c>
      <c r="H41" s="91">
        <v>10</v>
      </c>
      <c r="I41" s="91">
        <v>10</v>
      </c>
      <c r="J41" s="6">
        <v>9</v>
      </c>
      <c r="K41" s="109"/>
      <c r="L41" s="98"/>
      <c r="M41" s="109"/>
      <c r="N41" s="3">
        <v>5</v>
      </c>
      <c r="O41" s="109"/>
      <c r="P41" s="109">
        <v>0</v>
      </c>
      <c r="Q41" s="109"/>
      <c r="R41" s="109"/>
      <c r="S41" s="109"/>
      <c r="T41" s="109"/>
      <c r="U41" s="109"/>
      <c r="V41" s="6"/>
    </row>
    <row r="42" spans="2:22" x14ac:dyDescent="0.25">
      <c r="B42" s="262"/>
      <c r="C42" s="18">
        <v>9</v>
      </c>
      <c r="D42" s="18">
        <v>10</v>
      </c>
      <c r="E42" s="18">
        <v>10</v>
      </c>
      <c r="F42" s="18">
        <v>10</v>
      </c>
      <c r="G42" s="18">
        <v>10</v>
      </c>
      <c r="H42" s="18">
        <v>10</v>
      </c>
      <c r="I42" s="18">
        <v>10</v>
      </c>
      <c r="J42" s="19">
        <v>9</v>
      </c>
      <c r="K42" s="109"/>
      <c r="L42" s="98"/>
      <c r="M42" s="109"/>
      <c r="N42" s="3">
        <v>5</v>
      </c>
      <c r="O42" s="109"/>
      <c r="P42" s="109">
        <v>0</v>
      </c>
      <c r="Q42" s="109"/>
      <c r="R42" s="109"/>
      <c r="S42" s="109"/>
      <c r="T42" s="109"/>
      <c r="U42" s="109"/>
      <c r="V42" s="6"/>
    </row>
    <row r="43" spans="2:22" x14ac:dyDescent="0.25">
      <c r="B43" s="260" t="s">
        <v>60</v>
      </c>
      <c r="C43" s="107">
        <v>9</v>
      </c>
      <c r="D43" s="107">
        <v>0</v>
      </c>
      <c r="E43" s="107">
        <v>0</v>
      </c>
      <c r="F43" s="107">
        <v>0</v>
      </c>
      <c r="G43" s="107">
        <v>8</v>
      </c>
      <c r="H43" s="107">
        <v>9</v>
      </c>
      <c r="I43" s="107">
        <v>7</v>
      </c>
      <c r="J43" s="108">
        <v>0</v>
      </c>
      <c r="K43" s="109"/>
      <c r="L43" s="98"/>
      <c r="M43" s="109"/>
      <c r="N43" s="3">
        <v>5</v>
      </c>
      <c r="O43" s="109"/>
      <c r="P43" s="109">
        <v>0</v>
      </c>
      <c r="Q43" s="109"/>
      <c r="R43" s="109"/>
      <c r="S43" s="109"/>
      <c r="T43" s="109"/>
      <c r="U43" s="109"/>
      <c r="V43" s="6"/>
    </row>
    <row r="44" spans="2:22" x14ac:dyDescent="0.25">
      <c r="B44" s="261"/>
      <c r="C44" s="109">
        <v>9</v>
      </c>
      <c r="D44" s="109">
        <v>9</v>
      </c>
      <c r="E44" s="109">
        <v>10</v>
      </c>
      <c r="F44" s="109">
        <v>8</v>
      </c>
      <c r="G44" s="109">
        <v>8</v>
      </c>
      <c r="H44" s="109">
        <v>9</v>
      </c>
      <c r="I44" s="109">
        <v>7.5</v>
      </c>
      <c r="J44" s="6">
        <v>7.5</v>
      </c>
      <c r="K44" s="109"/>
      <c r="L44" s="98"/>
      <c r="M44" s="109"/>
      <c r="N44" s="3">
        <v>2</v>
      </c>
      <c r="O44" s="109"/>
      <c r="P44" s="109"/>
      <c r="Q44" s="109">
        <v>1</v>
      </c>
      <c r="R44" s="109"/>
      <c r="S44" s="109"/>
      <c r="T44" s="109"/>
      <c r="U44" s="109"/>
      <c r="V44" s="6"/>
    </row>
    <row r="45" spans="2:22" x14ac:dyDescent="0.25">
      <c r="B45" s="261"/>
      <c r="C45" s="109">
        <v>9.5</v>
      </c>
      <c r="D45" s="109">
        <v>9</v>
      </c>
      <c r="E45" s="109">
        <v>10</v>
      </c>
      <c r="F45" s="109">
        <v>8</v>
      </c>
      <c r="G45" s="109">
        <v>8</v>
      </c>
      <c r="H45" s="109">
        <v>9</v>
      </c>
      <c r="I45" s="109">
        <v>7</v>
      </c>
      <c r="J45" s="6">
        <v>9</v>
      </c>
      <c r="K45" s="109"/>
      <c r="L45" s="98"/>
      <c r="M45" s="109"/>
      <c r="N45" s="3">
        <v>5</v>
      </c>
      <c r="O45" s="109"/>
      <c r="P45" s="109"/>
      <c r="Q45" s="109">
        <v>0</v>
      </c>
      <c r="R45" s="109"/>
      <c r="S45" s="109"/>
      <c r="T45" s="109"/>
      <c r="U45" s="109"/>
      <c r="V45" s="6"/>
    </row>
    <row r="46" spans="2:22" x14ac:dyDescent="0.25">
      <c r="B46" s="261"/>
      <c r="C46" s="109">
        <v>9.5</v>
      </c>
      <c r="D46" s="109">
        <v>9</v>
      </c>
      <c r="E46" s="109">
        <v>10</v>
      </c>
      <c r="F46" s="109">
        <v>9.5</v>
      </c>
      <c r="G46" s="109">
        <v>8</v>
      </c>
      <c r="H46" s="109">
        <v>9</v>
      </c>
      <c r="I46" s="109">
        <v>9</v>
      </c>
      <c r="J46" s="6">
        <v>10</v>
      </c>
      <c r="K46" s="109"/>
      <c r="L46" s="98"/>
      <c r="M46" s="109"/>
      <c r="N46" s="3">
        <v>5</v>
      </c>
      <c r="O46" s="109"/>
      <c r="P46" s="109"/>
      <c r="Q46" s="109">
        <v>0</v>
      </c>
      <c r="R46" s="109"/>
      <c r="S46" s="109"/>
      <c r="T46" s="109"/>
      <c r="U46" s="109"/>
      <c r="V46" s="6"/>
    </row>
    <row r="47" spans="2:22" x14ac:dyDescent="0.25">
      <c r="B47" s="261"/>
      <c r="C47" s="109">
        <v>9.5</v>
      </c>
      <c r="D47" s="109">
        <v>9</v>
      </c>
      <c r="E47" s="109">
        <v>10</v>
      </c>
      <c r="F47" s="109">
        <v>10</v>
      </c>
      <c r="G47" s="109">
        <v>8</v>
      </c>
      <c r="H47" s="109">
        <v>9</v>
      </c>
      <c r="I47" s="109">
        <v>10</v>
      </c>
      <c r="J47" s="6">
        <v>10</v>
      </c>
      <c r="K47" s="109"/>
      <c r="L47" s="98"/>
      <c r="M47" s="109"/>
      <c r="N47" s="3">
        <v>5</v>
      </c>
      <c r="O47" s="109"/>
      <c r="P47" s="109"/>
      <c r="Q47" s="109">
        <v>0</v>
      </c>
      <c r="R47" s="109"/>
      <c r="S47" s="109"/>
      <c r="T47" s="109"/>
      <c r="U47" s="109"/>
      <c r="V47" s="6"/>
    </row>
    <row r="48" spans="2:22" x14ac:dyDescent="0.25">
      <c r="B48" s="261"/>
      <c r="C48" s="109">
        <v>9.5</v>
      </c>
      <c r="D48" s="109">
        <v>9</v>
      </c>
      <c r="E48" s="109">
        <v>10</v>
      </c>
      <c r="F48" s="109">
        <v>8.5</v>
      </c>
      <c r="G48" s="109">
        <v>9</v>
      </c>
      <c r="H48" s="109">
        <v>9</v>
      </c>
      <c r="I48" s="109">
        <v>10</v>
      </c>
      <c r="J48" s="6">
        <v>10</v>
      </c>
      <c r="K48" s="109"/>
      <c r="L48" s="98"/>
      <c r="M48" s="109"/>
      <c r="N48" s="3">
        <v>5</v>
      </c>
      <c r="O48" s="109"/>
      <c r="P48" s="109"/>
      <c r="Q48" s="109">
        <v>0</v>
      </c>
      <c r="R48" s="109"/>
      <c r="S48" s="109"/>
      <c r="T48" s="109"/>
      <c r="U48" s="109"/>
      <c r="V48" s="6"/>
    </row>
    <row r="49" spans="2:22" x14ac:dyDescent="0.25">
      <c r="B49" s="261"/>
      <c r="C49" s="109">
        <v>10</v>
      </c>
      <c r="D49" s="109">
        <v>9.5</v>
      </c>
      <c r="E49" s="109">
        <v>10</v>
      </c>
      <c r="F49" s="109">
        <v>9.5</v>
      </c>
      <c r="G49" s="109">
        <v>9</v>
      </c>
      <c r="H49" s="109">
        <v>9</v>
      </c>
      <c r="I49" s="109">
        <v>10</v>
      </c>
      <c r="J49" s="6">
        <v>9.5</v>
      </c>
      <c r="K49" s="109"/>
      <c r="L49" s="98"/>
      <c r="M49" s="109"/>
      <c r="N49" s="3">
        <v>5</v>
      </c>
      <c r="O49" s="109"/>
      <c r="P49" s="109"/>
      <c r="Q49" s="109">
        <v>0</v>
      </c>
      <c r="R49" s="109"/>
      <c r="S49" s="109"/>
      <c r="T49" s="109"/>
      <c r="U49" s="109"/>
      <c r="V49" s="6"/>
    </row>
    <row r="50" spans="2:22" x14ac:dyDescent="0.25">
      <c r="B50" s="261"/>
      <c r="C50" s="109">
        <v>10</v>
      </c>
      <c r="D50" s="109">
        <v>9.5</v>
      </c>
      <c r="E50" s="109">
        <v>10</v>
      </c>
      <c r="F50" s="109">
        <v>9.5</v>
      </c>
      <c r="G50" s="109">
        <v>10</v>
      </c>
      <c r="H50" s="109">
        <v>9</v>
      </c>
      <c r="I50" s="109">
        <v>10</v>
      </c>
      <c r="J50" s="6">
        <v>8</v>
      </c>
      <c r="K50" s="109"/>
      <c r="L50" s="98"/>
      <c r="M50" s="109"/>
      <c r="N50" s="3">
        <v>5</v>
      </c>
      <c r="O50" s="109"/>
      <c r="P50" s="109"/>
      <c r="Q50" s="109">
        <v>0</v>
      </c>
      <c r="R50" s="109"/>
      <c r="S50" s="109"/>
      <c r="T50" s="109"/>
      <c r="U50" s="109"/>
      <c r="V50" s="6"/>
    </row>
    <row r="51" spans="2:22" x14ac:dyDescent="0.25">
      <c r="B51" s="261"/>
      <c r="C51" s="109">
        <v>10</v>
      </c>
      <c r="D51" s="109">
        <v>9</v>
      </c>
      <c r="E51" s="109">
        <v>10</v>
      </c>
      <c r="F51" s="109">
        <v>9</v>
      </c>
      <c r="G51" s="109">
        <v>9</v>
      </c>
      <c r="H51" s="109">
        <v>9</v>
      </c>
      <c r="I51" s="109">
        <v>10</v>
      </c>
      <c r="J51" s="6">
        <v>9</v>
      </c>
      <c r="K51" s="109"/>
      <c r="L51" s="98"/>
      <c r="M51" s="109"/>
      <c r="N51" s="3">
        <v>5</v>
      </c>
      <c r="O51" s="109"/>
      <c r="P51" s="109"/>
      <c r="Q51" s="109">
        <v>0</v>
      </c>
      <c r="R51" s="109"/>
      <c r="S51" s="109"/>
      <c r="T51" s="109"/>
      <c r="U51" s="109"/>
      <c r="V51" s="6"/>
    </row>
    <row r="52" spans="2:22" x14ac:dyDescent="0.25">
      <c r="B52" s="261"/>
      <c r="C52" s="109">
        <v>10</v>
      </c>
      <c r="D52" s="109">
        <v>9</v>
      </c>
      <c r="E52" s="109">
        <v>10</v>
      </c>
      <c r="F52" s="109">
        <v>9</v>
      </c>
      <c r="G52" s="109">
        <v>8</v>
      </c>
      <c r="H52" s="109">
        <v>9</v>
      </c>
      <c r="I52" s="109">
        <v>10</v>
      </c>
      <c r="J52" s="6">
        <v>9</v>
      </c>
      <c r="K52" s="109"/>
      <c r="L52" s="98"/>
      <c r="M52" s="109"/>
      <c r="N52" s="3">
        <v>5</v>
      </c>
      <c r="O52" s="109"/>
      <c r="P52" s="109"/>
      <c r="Q52" s="109">
        <v>0</v>
      </c>
      <c r="R52" s="109"/>
      <c r="S52" s="109"/>
      <c r="T52" s="109"/>
      <c r="U52" s="109"/>
      <c r="V52" s="6"/>
    </row>
    <row r="53" spans="2:22" x14ac:dyDescent="0.25">
      <c r="B53" s="261"/>
      <c r="C53" s="109">
        <v>10</v>
      </c>
      <c r="D53" s="109">
        <v>10</v>
      </c>
      <c r="E53" s="109">
        <v>10</v>
      </c>
      <c r="F53" s="109">
        <v>9.5</v>
      </c>
      <c r="G53" s="109">
        <v>9</v>
      </c>
      <c r="H53" s="109">
        <v>9</v>
      </c>
      <c r="I53" s="109">
        <v>10</v>
      </c>
      <c r="J53" s="6">
        <v>9</v>
      </c>
      <c r="K53" s="109"/>
      <c r="L53" s="98"/>
      <c r="M53" s="109"/>
      <c r="N53" s="3">
        <v>5</v>
      </c>
      <c r="O53" s="109"/>
      <c r="P53" s="109"/>
      <c r="Q53" s="109">
        <v>0</v>
      </c>
      <c r="R53" s="109"/>
      <c r="S53" s="109"/>
      <c r="T53" s="109"/>
      <c r="U53" s="109"/>
      <c r="V53" s="6"/>
    </row>
    <row r="54" spans="2:22" x14ac:dyDescent="0.25">
      <c r="B54" s="261"/>
      <c r="C54" s="109">
        <v>10</v>
      </c>
      <c r="D54" s="109">
        <v>10</v>
      </c>
      <c r="E54" s="109">
        <v>10</v>
      </c>
      <c r="F54" s="109">
        <v>10</v>
      </c>
      <c r="G54" s="109">
        <v>9</v>
      </c>
      <c r="H54" s="109">
        <v>9</v>
      </c>
      <c r="I54" s="109">
        <v>10</v>
      </c>
      <c r="J54" s="6">
        <v>9</v>
      </c>
      <c r="K54" s="109"/>
      <c r="L54" s="98"/>
      <c r="M54" s="109"/>
      <c r="N54" s="3">
        <v>5</v>
      </c>
      <c r="O54" s="109"/>
      <c r="P54" s="109"/>
      <c r="Q54" s="109">
        <v>0</v>
      </c>
      <c r="R54" s="109"/>
      <c r="S54" s="109"/>
      <c r="T54" s="109"/>
      <c r="U54" s="109"/>
      <c r="V54" s="6"/>
    </row>
    <row r="55" spans="2:22" x14ac:dyDescent="0.25">
      <c r="B55" s="261"/>
      <c r="C55" s="109">
        <v>10</v>
      </c>
      <c r="D55" s="109">
        <v>10</v>
      </c>
      <c r="E55" s="109">
        <v>10</v>
      </c>
      <c r="F55" s="109">
        <v>10</v>
      </c>
      <c r="G55" s="109">
        <v>9</v>
      </c>
      <c r="H55" s="109">
        <v>9</v>
      </c>
      <c r="I55" s="109">
        <v>9</v>
      </c>
      <c r="J55" s="6">
        <v>9</v>
      </c>
      <c r="K55" s="109"/>
      <c r="L55" s="98"/>
      <c r="M55" s="109"/>
      <c r="N55" s="3">
        <v>5</v>
      </c>
      <c r="O55" s="109"/>
      <c r="P55" s="109"/>
      <c r="Q55" s="109">
        <v>0</v>
      </c>
      <c r="R55" s="109"/>
      <c r="S55" s="109"/>
      <c r="T55" s="109"/>
      <c r="U55" s="109"/>
      <c r="V55" s="6"/>
    </row>
    <row r="56" spans="2:22" x14ac:dyDescent="0.25">
      <c r="B56" s="261"/>
      <c r="C56" s="109">
        <v>10</v>
      </c>
      <c r="D56" s="109">
        <v>10</v>
      </c>
      <c r="E56" s="109">
        <v>10</v>
      </c>
      <c r="F56" s="109">
        <v>10</v>
      </c>
      <c r="G56" s="109">
        <v>9</v>
      </c>
      <c r="H56" s="109">
        <v>9</v>
      </c>
      <c r="I56" s="109">
        <v>9</v>
      </c>
      <c r="J56" s="6">
        <v>9</v>
      </c>
      <c r="K56" s="109"/>
      <c r="L56" s="98"/>
      <c r="M56" s="109"/>
      <c r="N56" s="3">
        <v>5</v>
      </c>
      <c r="O56" s="109"/>
      <c r="P56" s="109"/>
      <c r="Q56" s="109">
        <v>0</v>
      </c>
      <c r="R56" s="109"/>
      <c r="S56" s="109"/>
      <c r="T56" s="109"/>
      <c r="U56" s="109"/>
      <c r="V56" s="6"/>
    </row>
    <row r="57" spans="2:22" x14ac:dyDescent="0.25">
      <c r="B57" s="261"/>
      <c r="C57" s="109">
        <v>10</v>
      </c>
      <c r="D57" s="109">
        <v>10</v>
      </c>
      <c r="E57" s="109">
        <v>10</v>
      </c>
      <c r="F57" s="109">
        <v>9</v>
      </c>
      <c r="G57" s="109">
        <v>9</v>
      </c>
      <c r="H57" s="109">
        <v>9</v>
      </c>
      <c r="I57" s="109">
        <v>9</v>
      </c>
      <c r="J57" s="6">
        <v>9</v>
      </c>
      <c r="K57" s="109"/>
      <c r="L57" s="98"/>
      <c r="M57" s="109"/>
      <c r="N57" s="3">
        <v>5</v>
      </c>
      <c r="O57" s="109"/>
      <c r="P57" s="109"/>
      <c r="Q57" s="109">
        <v>0</v>
      </c>
      <c r="R57" s="109"/>
      <c r="S57" s="109"/>
      <c r="T57" s="109"/>
      <c r="U57" s="109"/>
      <c r="V57" s="6"/>
    </row>
    <row r="58" spans="2:22" x14ac:dyDescent="0.25">
      <c r="B58" s="261"/>
      <c r="C58" s="109">
        <v>10</v>
      </c>
      <c r="D58" s="109">
        <v>10</v>
      </c>
      <c r="E58" s="109">
        <v>10</v>
      </c>
      <c r="F58" s="109">
        <v>9</v>
      </c>
      <c r="G58" s="109">
        <v>9</v>
      </c>
      <c r="H58" s="109">
        <v>9</v>
      </c>
      <c r="I58" s="109">
        <v>9</v>
      </c>
      <c r="J58" s="6">
        <v>9</v>
      </c>
      <c r="K58" s="109"/>
      <c r="L58" s="98"/>
      <c r="M58" s="109"/>
      <c r="N58" s="3">
        <v>5</v>
      </c>
      <c r="O58" s="109"/>
      <c r="P58" s="109"/>
      <c r="Q58" s="109">
        <v>0</v>
      </c>
      <c r="R58" s="109"/>
      <c r="S58" s="109"/>
      <c r="T58" s="109"/>
      <c r="U58" s="109"/>
      <c r="V58" s="6"/>
    </row>
    <row r="59" spans="2:22" x14ac:dyDescent="0.25">
      <c r="B59" s="261"/>
      <c r="C59" s="109">
        <v>10</v>
      </c>
      <c r="D59" s="109">
        <v>10</v>
      </c>
      <c r="E59" s="109">
        <v>10</v>
      </c>
      <c r="F59" s="109">
        <v>9</v>
      </c>
      <c r="G59" s="109">
        <v>10</v>
      </c>
      <c r="H59" s="109">
        <v>8</v>
      </c>
      <c r="I59" s="109">
        <v>10</v>
      </c>
      <c r="J59" s="6">
        <v>9</v>
      </c>
      <c r="K59" s="109"/>
      <c r="L59" s="98"/>
      <c r="M59" s="109"/>
      <c r="N59" s="3">
        <v>5</v>
      </c>
      <c r="O59" s="109"/>
      <c r="P59" s="109"/>
      <c r="Q59" s="109">
        <v>0</v>
      </c>
      <c r="R59" s="109"/>
      <c r="S59" s="109"/>
      <c r="T59" s="109"/>
      <c r="U59" s="109"/>
      <c r="V59" s="6"/>
    </row>
    <row r="60" spans="2:22" x14ac:dyDescent="0.25">
      <c r="B60" s="261"/>
      <c r="C60" s="109">
        <v>10</v>
      </c>
      <c r="D60" s="109">
        <v>10</v>
      </c>
      <c r="E60" s="109">
        <v>10</v>
      </c>
      <c r="F60" s="109">
        <v>9</v>
      </c>
      <c r="G60" s="109">
        <v>10</v>
      </c>
      <c r="H60" s="109">
        <v>10</v>
      </c>
      <c r="I60" s="109">
        <v>10</v>
      </c>
      <c r="J60" s="6">
        <v>9</v>
      </c>
      <c r="K60" s="109"/>
      <c r="L60" s="98"/>
      <c r="M60" s="109"/>
      <c r="N60" s="3">
        <v>5</v>
      </c>
      <c r="O60" s="109"/>
      <c r="P60" s="109"/>
      <c r="Q60" s="109">
        <v>0</v>
      </c>
      <c r="R60" s="109"/>
      <c r="S60" s="109"/>
      <c r="T60" s="109"/>
      <c r="U60" s="109"/>
      <c r="V60" s="6"/>
    </row>
    <row r="61" spans="2:22" x14ac:dyDescent="0.25">
      <c r="B61" s="261"/>
      <c r="C61" s="109">
        <v>10</v>
      </c>
      <c r="D61" s="109">
        <v>10</v>
      </c>
      <c r="E61" s="109">
        <v>10</v>
      </c>
      <c r="F61" s="109">
        <v>10</v>
      </c>
      <c r="G61" s="109">
        <v>10</v>
      </c>
      <c r="H61" s="109">
        <v>10</v>
      </c>
      <c r="I61" s="109">
        <v>10</v>
      </c>
      <c r="J61" s="6">
        <v>9</v>
      </c>
      <c r="K61" s="109"/>
      <c r="L61" s="98"/>
      <c r="M61" s="109"/>
      <c r="N61" s="3">
        <v>5</v>
      </c>
      <c r="O61" s="109"/>
      <c r="P61" s="109"/>
      <c r="Q61" s="109">
        <v>0</v>
      </c>
      <c r="R61" s="109"/>
      <c r="S61" s="109"/>
      <c r="T61" s="109"/>
      <c r="U61" s="109"/>
      <c r="V61" s="6"/>
    </row>
    <row r="62" spans="2:22" x14ac:dyDescent="0.25">
      <c r="B62" s="262"/>
      <c r="C62" s="18">
        <v>9</v>
      </c>
      <c r="D62" s="18">
        <v>10</v>
      </c>
      <c r="E62" s="18">
        <v>10</v>
      </c>
      <c r="F62" s="18">
        <v>10</v>
      </c>
      <c r="G62" s="18">
        <v>10</v>
      </c>
      <c r="H62" s="18">
        <v>10</v>
      </c>
      <c r="I62" s="18">
        <v>10</v>
      </c>
      <c r="J62" s="19">
        <v>9</v>
      </c>
      <c r="K62" s="109"/>
      <c r="L62" s="98"/>
      <c r="M62" s="109"/>
      <c r="N62" s="3">
        <v>5</v>
      </c>
      <c r="O62" s="109"/>
      <c r="P62" s="109"/>
      <c r="Q62" s="109">
        <v>0</v>
      </c>
      <c r="R62" s="109"/>
      <c r="S62" s="109"/>
      <c r="T62" s="109"/>
      <c r="U62" s="109"/>
      <c r="V62" s="6"/>
    </row>
    <row r="63" spans="2:22" x14ac:dyDescent="0.25">
      <c r="B63" s="260" t="s">
        <v>61</v>
      </c>
      <c r="C63" s="107">
        <v>9</v>
      </c>
      <c r="D63" s="107">
        <v>0</v>
      </c>
      <c r="E63" s="107">
        <v>0</v>
      </c>
      <c r="F63" s="107">
        <v>0</v>
      </c>
      <c r="G63" s="107">
        <v>9</v>
      </c>
      <c r="H63" s="107">
        <v>8</v>
      </c>
      <c r="I63" s="107">
        <v>9</v>
      </c>
      <c r="J63" s="108">
        <v>0</v>
      </c>
      <c r="K63" s="109"/>
      <c r="L63" s="98"/>
      <c r="M63" s="109"/>
      <c r="N63" s="3">
        <v>5</v>
      </c>
      <c r="O63" s="109"/>
      <c r="P63" s="109"/>
      <c r="Q63" s="109">
        <v>0</v>
      </c>
      <c r="R63" s="109"/>
      <c r="S63" s="109"/>
      <c r="T63" s="109"/>
      <c r="U63" s="109"/>
      <c r="V63" s="6"/>
    </row>
    <row r="64" spans="2:22" x14ac:dyDescent="0.25">
      <c r="B64" s="261"/>
      <c r="C64" s="109">
        <v>9</v>
      </c>
      <c r="D64" s="109">
        <v>9</v>
      </c>
      <c r="E64" s="109">
        <v>8</v>
      </c>
      <c r="F64" s="109">
        <v>9</v>
      </c>
      <c r="G64" s="109">
        <v>8</v>
      </c>
      <c r="H64" s="109">
        <v>8</v>
      </c>
      <c r="I64" s="109">
        <v>8.5</v>
      </c>
      <c r="J64" s="6">
        <v>8</v>
      </c>
      <c r="K64" s="109"/>
      <c r="L64" s="98"/>
      <c r="M64" s="109"/>
      <c r="N64" s="3">
        <v>5</v>
      </c>
      <c r="O64" s="109"/>
      <c r="P64" s="109"/>
      <c r="Q64" s="109">
        <v>0</v>
      </c>
      <c r="R64" s="109"/>
      <c r="S64" s="109"/>
      <c r="T64" s="109"/>
      <c r="U64" s="109"/>
      <c r="V64" s="6"/>
    </row>
    <row r="65" spans="2:22" x14ac:dyDescent="0.25">
      <c r="B65" s="261"/>
      <c r="C65" s="109">
        <v>9</v>
      </c>
      <c r="D65" s="109">
        <v>9</v>
      </c>
      <c r="E65" s="109">
        <v>8.5</v>
      </c>
      <c r="F65" s="109">
        <v>9</v>
      </c>
      <c r="G65" s="109">
        <v>8</v>
      </c>
      <c r="H65" s="109">
        <v>9</v>
      </c>
      <c r="I65" s="109">
        <v>8.5</v>
      </c>
      <c r="J65" s="6">
        <v>8</v>
      </c>
      <c r="K65" s="109"/>
      <c r="L65" s="98"/>
      <c r="M65" s="109"/>
      <c r="N65" s="3">
        <v>2</v>
      </c>
      <c r="O65" s="109"/>
      <c r="P65" s="109"/>
      <c r="Q65" s="109"/>
      <c r="R65" s="109">
        <v>1</v>
      </c>
      <c r="S65" s="109"/>
      <c r="T65" s="109"/>
      <c r="U65" s="109"/>
      <c r="V65" s="6"/>
    </row>
    <row r="66" spans="2:22" x14ac:dyDescent="0.25">
      <c r="B66" s="261"/>
      <c r="C66" s="109">
        <v>10</v>
      </c>
      <c r="D66" s="109">
        <v>9</v>
      </c>
      <c r="E66" s="109">
        <v>8.5</v>
      </c>
      <c r="F66" s="109">
        <v>9</v>
      </c>
      <c r="G66" s="109">
        <v>9</v>
      </c>
      <c r="H66" s="109">
        <v>9</v>
      </c>
      <c r="I66" s="109">
        <v>8.5</v>
      </c>
      <c r="J66" s="6">
        <v>9</v>
      </c>
      <c r="K66" s="109"/>
      <c r="L66" s="98"/>
      <c r="M66" s="109"/>
      <c r="N66" s="3">
        <v>5</v>
      </c>
      <c r="O66" s="109"/>
      <c r="P66" s="109"/>
      <c r="Q66" s="109"/>
      <c r="R66" s="109">
        <v>0</v>
      </c>
      <c r="S66" s="109"/>
      <c r="T66" s="109"/>
      <c r="U66" s="109"/>
      <c r="V66" s="6"/>
    </row>
    <row r="67" spans="2:22" x14ac:dyDescent="0.25">
      <c r="B67" s="261"/>
      <c r="C67" s="109">
        <v>10</v>
      </c>
      <c r="D67" s="109">
        <v>10</v>
      </c>
      <c r="E67" s="109">
        <v>9.5</v>
      </c>
      <c r="F67" s="109">
        <v>9</v>
      </c>
      <c r="G67" s="109">
        <v>9</v>
      </c>
      <c r="H67" s="109">
        <v>9</v>
      </c>
      <c r="I67" s="109">
        <v>8</v>
      </c>
      <c r="J67" s="6">
        <v>9</v>
      </c>
      <c r="K67" s="109"/>
      <c r="L67" s="98"/>
      <c r="M67" s="109"/>
      <c r="N67" s="3">
        <v>5</v>
      </c>
      <c r="O67" s="109"/>
      <c r="P67" s="109"/>
      <c r="Q67" s="109"/>
      <c r="R67" s="109">
        <v>0</v>
      </c>
      <c r="S67" s="109"/>
      <c r="T67" s="109"/>
      <c r="U67" s="109"/>
      <c r="V67" s="6"/>
    </row>
    <row r="68" spans="2:22" x14ac:dyDescent="0.25">
      <c r="B68" s="261"/>
      <c r="C68" s="109">
        <v>10</v>
      </c>
      <c r="D68" s="109">
        <v>10</v>
      </c>
      <c r="E68" s="109">
        <v>9.5</v>
      </c>
      <c r="F68" s="109">
        <v>9</v>
      </c>
      <c r="G68" s="109">
        <v>9</v>
      </c>
      <c r="H68" s="109">
        <v>9</v>
      </c>
      <c r="I68" s="109">
        <v>8</v>
      </c>
      <c r="J68" s="6">
        <v>9</v>
      </c>
      <c r="K68" s="109"/>
      <c r="L68" s="98"/>
      <c r="M68" s="109"/>
      <c r="N68" s="3">
        <v>5</v>
      </c>
      <c r="O68" s="109"/>
      <c r="P68" s="109"/>
      <c r="Q68" s="109"/>
      <c r="R68" s="109">
        <v>0</v>
      </c>
      <c r="S68" s="109"/>
      <c r="T68" s="109"/>
      <c r="U68" s="109"/>
      <c r="V68" s="6"/>
    </row>
    <row r="69" spans="2:22" x14ac:dyDescent="0.25">
      <c r="B69" s="261"/>
      <c r="C69" s="109">
        <v>10</v>
      </c>
      <c r="D69" s="109">
        <v>10</v>
      </c>
      <c r="E69" s="109">
        <v>9</v>
      </c>
      <c r="F69" s="109">
        <v>10</v>
      </c>
      <c r="G69" s="109">
        <v>10</v>
      </c>
      <c r="H69" s="109">
        <v>9</v>
      </c>
      <c r="I69" s="109">
        <v>10</v>
      </c>
      <c r="J69" s="6">
        <v>9</v>
      </c>
      <c r="K69" s="109"/>
      <c r="L69" s="98"/>
      <c r="M69" s="109"/>
      <c r="N69" s="3">
        <v>5</v>
      </c>
      <c r="O69" s="109"/>
      <c r="P69" s="109"/>
      <c r="Q69" s="109"/>
      <c r="R69" s="109">
        <v>0</v>
      </c>
      <c r="S69" s="109"/>
      <c r="T69" s="109"/>
      <c r="U69" s="109"/>
      <c r="V69" s="6"/>
    </row>
    <row r="70" spans="2:22" x14ac:dyDescent="0.25">
      <c r="B70" s="261"/>
      <c r="C70" s="109">
        <v>10</v>
      </c>
      <c r="D70" s="109">
        <v>10</v>
      </c>
      <c r="E70" s="109">
        <v>9</v>
      </c>
      <c r="F70" s="109">
        <v>10</v>
      </c>
      <c r="G70" s="109">
        <v>10</v>
      </c>
      <c r="H70" s="109">
        <v>9</v>
      </c>
      <c r="I70" s="109">
        <v>10</v>
      </c>
      <c r="J70" s="6">
        <v>9</v>
      </c>
      <c r="K70" s="109"/>
      <c r="L70" s="98"/>
      <c r="M70" s="109"/>
      <c r="N70" s="3">
        <v>5</v>
      </c>
      <c r="O70" s="109"/>
      <c r="P70" s="109"/>
      <c r="Q70" s="109"/>
      <c r="R70" s="109">
        <v>0</v>
      </c>
      <c r="S70" s="109"/>
      <c r="T70" s="109"/>
      <c r="U70" s="109"/>
      <c r="V70" s="6"/>
    </row>
    <row r="71" spans="2:22" x14ac:dyDescent="0.25">
      <c r="B71" s="261"/>
      <c r="C71" s="109">
        <v>10</v>
      </c>
      <c r="D71" s="109">
        <v>10</v>
      </c>
      <c r="E71" s="109">
        <v>8.5</v>
      </c>
      <c r="F71" s="109">
        <v>10</v>
      </c>
      <c r="G71" s="109">
        <v>10</v>
      </c>
      <c r="H71" s="109">
        <v>9</v>
      </c>
      <c r="I71" s="109">
        <v>10</v>
      </c>
      <c r="J71" s="6">
        <v>9</v>
      </c>
      <c r="K71" s="109"/>
      <c r="L71" s="98"/>
      <c r="M71" s="109"/>
      <c r="N71" s="3">
        <v>5</v>
      </c>
      <c r="O71" s="109"/>
      <c r="P71" s="109"/>
      <c r="Q71" s="109"/>
      <c r="R71" s="109">
        <v>0</v>
      </c>
      <c r="S71" s="109"/>
      <c r="T71" s="109"/>
      <c r="U71" s="109"/>
      <c r="V71" s="6"/>
    </row>
    <row r="72" spans="2:22" x14ac:dyDescent="0.25">
      <c r="B72" s="261"/>
      <c r="C72" s="109">
        <v>10</v>
      </c>
      <c r="D72" s="109">
        <v>10</v>
      </c>
      <c r="E72" s="109">
        <v>9.5</v>
      </c>
      <c r="F72" s="109">
        <v>10</v>
      </c>
      <c r="G72" s="109">
        <v>10</v>
      </c>
      <c r="H72" s="109">
        <v>9</v>
      </c>
      <c r="I72" s="109">
        <v>10</v>
      </c>
      <c r="J72" s="6">
        <v>9</v>
      </c>
      <c r="K72" s="109"/>
      <c r="L72" s="98"/>
      <c r="M72" s="109"/>
      <c r="N72" s="3">
        <v>5</v>
      </c>
      <c r="O72" s="109"/>
      <c r="P72" s="109"/>
      <c r="Q72" s="109"/>
      <c r="R72" s="109">
        <v>0</v>
      </c>
      <c r="S72" s="109"/>
      <c r="T72" s="109"/>
      <c r="U72" s="109"/>
      <c r="V72" s="6"/>
    </row>
    <row r="73" spans="2:22" x14ac:dyDescent="0.25">
      <c r="B73" s="261"/>
      <c r="C73" s="109">
        <v>10</v>
      </c>
      <c r="D73" s="109">
        <v>10</v>
      </c>
      <c r="E73" s="109">
        <v>9.5</v>
      </c>
      <c r="F73" s="109">
        <v>10</v>
      </c>
      <c r="G73" s="109">
        <v>10</v>
      </c>
      <c r="H73" s="109">
        <v>9</v>
      </c>
      <c r="I73" s="109">
        <v>9</v>
      </c>
      <c r="J73" s="6">
        <v>9</v>
      </c>
      <c r="K73" s="109"/>
      <c r="L73" s="95"/>
      <c r="M73" s="109"/>
      <c r="N73" s="3">
        <v>5</v>
      </c>
      <c r="O73" s="109"/>
      <c r="P73" s="109"/>
      <c r="Q73" s="109"/>
      <c r="R73" s="109">
        <v>0</v>
      </c>
      <c r="S73" s="109"/>
      <c r="T73" s="109"/>
      <c r="U73" s="109"/>
      <c r="V73" s="6"/>
    </row>
    <row r="74" spans="2:22" x14ac:dyDescent="0.25">
      <c r="B74" s="261"/>
      <c r="C74" s="109">
        <v>10</v>
      </c>
      <c r="D74" s="109">
        <v>10</v>
      </c>
      <c r="E74" s="109">
        <v>9.5</v>
      </c>
      <c r="F74" s="109">
        <v>10</v>
      </c>
      <c r="G74" s="109">
        <v>10</v>
      </c>
      <c r="H74" s="109">
        <v>9</v>
      </c>
      <c r="I74" s="109">
        <v>9</v>
      </c>
      <c r="J74" s="6">
        <v>9</v>
      </c>
      <c r="K74" s="109"/>
      <c r="L74" s="95"/>
      <c r="M74" s="109"/>
      <c r="N74" s="3">
        <v>5</v>
      </c>
      <c r="O74" s="109"/>
      <c r="P74" s="109"/>
      <c r="Q74" s="109"/>
      <c r="R74" s="109">
        <v>0</v>
      </c>
      <c r="S74" s="109"/>
      <c r="T74" s="109"/>
      <c r="U74" s="109"/>
      <c r="V74" s="6"/>
    </row>
    <row r="75" spans="2:22" x14ac:dyDescent="0.25">
      <c r="B75" s="261"/>
      <c r="C75" s="109">
        <v>10</v>
      </c>
      <c r="D75" s="109">
        <v>10</v>
      </c>
      <c r="E75" s="109">
        <v>9</v>
      </c>
      <c r="F75" s="109">
        <v>10</v>
      </c>
      <c r="G75" s="109">
        <v>10</v>
      </c>
      <c r="H75" s="109">
        <v>9</v>
      </c>
      <c r="I75" s="109">
        <v>9</v>
      </c>
      <c r="J75" s="6">
        <v>9</v>
      </c>
      <c r="K75" s="109"/>
      <c r="L75" s="95"/>
      <c r="M75" s="109"/>
      <c r="N75" s="3">
        <v>5</v>
      </c>
      <c r="O75" s="109"/>
      <c r="P75" s="109"/>
      <c r="Q75" s="109"/>
      <c r="R75" s="109">
        <v>0</v>
      </c>
      <c r="S75" s="109"/>
      <c r="T75" s="109"/>
      <c r="U75" s="109"/>
      <c r="V75" s="6"/>
    </row>
    <row r="76" spans="2:22" x14ac:dyDescent="0.25">
      <c r="B76" s="261"/>
      <c r="C76" s="109">
        <v>10</v>
      </c>
      <c r="D76" s="109">
        <v>10</v>
      </c>
      <c r="E76" s="109">
        <v>10</v>
      </c>
      <c r="F76" s="109">
        <v>10</v>
      </c>
      <c r="G76" s="109">
        <v>10</v>
      </c>
      <c r="H76" s="109">
        <v>10</v>
      </c>
      <c r="I76" s="109">
        <v>9</v>
      </c>
      <c r="J76" s="6">
        <v>9</v>
      </c>
      <c r="K76" s="109"/>
      <c r="L76" s="95"/>
      <c r="M76" s="109"/>
      <c r="N76" s="3">
        <v>5</v>
      </c>
      <c r="O76" s="109"/>
      <c r="P76" s="109"/>
      <c r="Q76" s="109"/>
      <c r="R76" s="109">
        <v>0</v>
      </c>
      <c r="S76" s="109"/>
      <c r="T76" s="109"/>
      <c r="U76" s="109"/>
      <c r="V76" s="6"/>
    </row>
    <row r="77" spans="2:22" x14ac:dyDescent="0.25">
      <c r="B77" s="261"/>
      <c r="C77" s="109">
        <v>10</v>
      </c>
      <c r="D77" s="109">
        <v>10</v>
      </c>
      <c r="E77" s="109">
        <v>10</v>
      </c>
      <c r="F77" s="109">
        <v>10</v>
      </c>
      <c r="G77" s="109">
        <v>10</v>
      </c>
      <c r="H77" s="109">
        <v>10</v>
      </c>
      <c r="I77" s="109">
        <v>9</v>
      </c>
      <c r="J77" s="6">
        <v>9</v>
      </c>
      <c r="K77" s="109"/>
      <c r="L77" s="95"/>
      <c r="M77" s="109"/>
      <c r="N77" s="3">
        <v>5</v>
      </c>
      <c r="O77" s="109"/>
      <c r="P77" s="109"/>
      <c r="Q77" s="109"/>
      <c r="R77" s="109">
        <v>0</v>
      </c>
      <c r="S77" s="109"/>
      <c r="T77" s="109"/>
      <c r="U77" s="109"/>
      <c r="V77" s="6"/>
    </row>
    <row r="78" spans="2:22" x14ac:dyDescent="0.25">
      <c r="B78" s="261"/>
      <c r="C78" s="109">
        <v>10</v>
      </c>
      <c r="D78" s="109">
        <v>10</v>
      </c>
      <c r="E78" s="109">
        <v>10</v>
      </c>
      <c r="F78" s="109">
        <v>10</v>
      </c>
      <c r="G78" s="109">
        <v>10</v>
      </c>
      <c r="H78" s="109">
        <v>10</v>
      </c>
      <c r="I78" s="109">
        <v>9</v>
      </c>
      <c r="J78" s="6">
        <v>9</v>
      </c>
      <c r="K78" s="109"/>
      <c r="L78" s="95"/>
      <c r="M78" s="109"/>
      <c r="N78" s="3">
        <v>5</v>
      </c>
      <c r="O78" s="109"/>
      <c r="P78" s="109"/>
      <c r="Q78" s="109"/>
      <c r="R78" s="109">
        <v>0</v>
      </c>
      <c r="S78" s="109"/>
      <c r="T78" s="109"/>
      <c r="U78" s="109"/>
      <c r="V78" s="6"/>
    </row>
    <row r="79" spans="2:22" x14ac:dyDescent="0.25">
      <c r="B79" s="261"/>
      <c r="C79" s="109">
        <v>10</v>
      </c>
      <c r="D79" s="109">
        <v>10</v>
      </c>
      <c r="E79" s="109">
        <v>10</v>
      </c>
      <c r="F79" s="109">
        <v>10</v>
      </c>
      <c r="G79" s="109">
        <v>10</v>
      </c>
      <c r="H79" s="109">
        <v>10</v>
      </c>
      <c r="I79" s="109">
        <v>9</v>
      </c>
      <c r="J79" s="6">
        <v>9</v>
      </c>
      <c r="K79" s="109"/>
      <c r="L79" s="95"/>
      <c r="M79" s="109"/>
      <c r="N79" s="3">
        <v>5</v>
      </c>
      <c r="O79" s="109"/>
      <c r="P79" s="109"/>
      <c r="Q79" s="109"/>
      <c r="R79" s="109">
        <v>0</v>
      </c>
      <c r="S79" s="109"/>
      <c r="T79" s="109"/>
      <c r="U79" s="109"/>
      <c r="V79" s="6"/>
    </row>
    <row r="80" spans="2:22" x14ac:dyDescent="0.25">
      <c r="B80" s="261"/>
      <c r="C80" s="109">
        <v>10</v>
      </c>
      <c r="D80" s="109">
        <v>10</v>
      </c>
      <c r="E80" s="109">
        <v>10</v>
      </c>
      <c r="F80" s="109">
        <v>10</v>
      </c>
      <c r="G80" s="109">
        <v>10</v>
      </c>
      <c r="H80" s="109">
        <v>10</v>
      </c>
      <c r="I80" s="109">
        <v>9</v>
      </c>
      <c r="J80" s="6">
        <v>9</v>
      </c>
      <c r="K80" s="109"/>
      <c r="L80" s="95"/>
      <c r="M80" s="109"/>
      <c r="N80" s="3">
        <v>5</v>
      </c>
      <c r="O80" s="109"/>
      <c r="P80" s="109"/>
      <c r="Q80" s="109"/>
      <c r="R80" s="109">
        <v>0</v>
      </c>
      <c r="S80" s="109"/>
      <c r="T80" s="109"/>
      <c r="U80" s="109"/>
      <c r="V80" s="6"/>
    </row>
    <row r="81" spans="2:22" x14ac:dyDescent="0.25">
      <c r="B81" s="261"/>
      <c r="C81" s="109">
        <v>10</v>
      </c>
      <c r="D81" s="109">
        <v>10</v>
      </c>
      <c r="E81" s="109">
        <v>10</v>
      </c>
      <c r="F81" s="109">
        <v>10</v>
      </c>
      <c r="G81" s="109">
        <v>10</v>
      </c>
      <c r="H81" s="109">
        <v>10</v>
      </c>
      <c r="I81" s="109">
        <v>9</v>
      </c>
      <c r="J81" s="6">
        <v>9</v>
      </c>
      <c r="K81" s="109"/>
      <c r="L81" s="95"/>
      <c r="M81" s="109"/>
      <c r="N81" s="3">
        <v>5</v>
      </c>
      <c r="O81" s="109"/>
      <c r="P81" s="109"/>
      <c r="Q81" s="109"/>
      <c r="R81" s="109">
        <v>0</v>
      </c>
      <c r="S81" s="109"/>
      <c r="T81" s="109"/>
      <c r="U81" s="109"/>
      <c r="V81" s="6"/>
    </row>
    <row r="82" spans="2:22" x14ac:dyDescent="0.25">
      <c r="B82" s="262"/>
      <c r="C82" s="18">
        <v>10</v>
      </c>
      <c r="D82" s="18">
        <v>10</v>
      </c>
      <c r="E82" s="18">
        <v>10</v>
      </c>
      <c r="F82" s="18">
        <v>10</v>
      </c>
      <c r="G82" s="18">
        <v>10</v>
      </c>
      <c r="H82" s="18">
        <v>10</v>
      </c>
      <c r="I82" s="18">
        <v>9</v>
      </c>
      <c r="J82" s="19">
        <v>9</v>
      </c>
      <c r="K82" s="109"/>
      <c r="L82" s="95"/>
      <c r="M82" s="109"/>
      <c r="N82" s="3">
        <v>5</v>
      </c>
      <c r="O82" s="109"/>
      <c r="P82" s="109"/>
      <c r="Q82" s="109"/>
      <c r="R82" s="109">
        <v>0</v>
      </c>
      <c r="S82" s="109"/>
      <c r="T82" s="109"/>
      <c r="U82" s="109"/>
      <c r="V82" s="6"/>
    </row>
    <row r="83" spans="2:22" x14ac:dyDescent="0.25">
      <c r="B83" s="260" t="s">
        <v>62</v>
      </c>
      <c r="C83" s="107">
        <v>9.5</v>
      </c>
      <c r="D83" s="107">
        <v>0</v>
      </c>
      <c r="E83" s="107">
        <v>0</v>
      </c>
      <c r="F83" s="107">
        <v>0</v>
      </c>
      <c r="G83" s="107">
        <v>9</v>
      </c>
      <c r="H83" s="107">
        <v>8</v>
      </c>
      <c r="I83" s="107">
        <v>8</v>
      </c>
      <c r="J83" s="108">
        <v>0</v>
      </c>
      <c r="K83" s="109"/>
      <c r="L83" s="95"/>
      <c r="M83" s="109"/>
      <c r="N83" s="3">
        <v>5</v>
      </c>
      <c r="O83" s="109"/>
      <c r="P83" s="109"/>
      <c r="Q83" s="109"/>
      <c r="R83" s="109">
        <v>0</v>
      </c>
      <c r="S83" s="109"/>
      <c r="T83" s="109"/>
      <c r="U83" s="109"/>
      <c r="V83" s="6"/>
    </row>
    <row r="84" spans="2:22" x14ac:dyDescent="0.25">
      <c r="B84" s="261"/>
      <c r="C84" s="91">
        <v>9.5</v>
      </c>
      <c r="D84" s="91">
        <v>9</v>
      </c>
      <c r="E84" s="91">
        <v>9</v>
      </c>
      <c r="F84" s="91">
        <v>8</v>
      </c>
      <c r="G84" s="91">
        <v>9</v>
      </c>
      <c r="H84" s="91">
        <v>8</v>
      </c>
      <c r="I84" s="91">
        <v>8</v>
      </c>
      <c r="J84" s="6">
        <v>8</v>
      </c>
      <c r="K84" s="109"/>
      <c r="L84" s="95"/>
      <c r="M84" s="109"/>
      <c r="N84" s="3">
        <v>5</v>
      </c>
      <c r="O84" s="109"/>
      <c r="P84" s="109"/>
      <c r="Q84" s="109"/>
      <c r="R84" s="109">
        <v>0</v>
      </c>
      <c r="S84" s="109"/>
      <c r="T84" s="109"/>
      <c r="U84" s="109"/>
      <c r="V84" s="6"/>
    </row>
    <row r="85" spans="2:22" x14ac:dyDescent="0.25">
      <c r="B85" s="261"/>
      <c r="C85" s="91">
        <v>10</v>
      </c>
      <c r="D85" s="91">
        <v>8</v>
      </c>
      <c r="E85" s="91">
        <v>10</v>
      </c>
      <c r="F85" s="91">
        <v>8</v>
      </c>
      <c r="G85" s="91">
        <v>8</v>
      </c>
      <c r="H85" s="91">
        <v>8</v>
      </c>
      <c r="I85" s="91">
        <v>8</v>
      </c>
      <c r="J85" s="6">
        <v>8</v>
      </c>
      <c r="K85" s="109"/>
      <c r="L85" s="95"/>
      <c r="M85" s="109"/>
      <c r="N85" s="3">
        <v>5</v>
      </c>
      <c r="O85" s="109"/>
      <c r="P85" s="109"/>
      <c r="Q85" s="109"/>
      <c r="R85" s="109">
        <v>0</v>
      </c>
      <c r="S85" s="109"/>
      <c r="T85" s="109"/>
      <c r="U85" s="109"/>
      <c r="V85" s="6"/>
    </row>
    <row r="86" spans="2:22" x14ac:dyDescent="0.25">
      <c r="B86" s="261"/>
      <c r="C86" s="91">
        <v>10</v>
      </c>
      <c r="D86" s="91">
        <v>8</v>
      </c>
      <c r="E86" s="91">
        <v>9</v>
      </c>
      <c r="F86" s="91">
        <v>9</v>
      </c>
      <c r="G86" s="91">
        <v>8</v>
      </c>
      <c r="H86" s="91">
        <v>8</v>
      </c>
      <c r="I86" s="91">
        <v>8</v>
      </c>
      <c r="J86" s="6">
        <v>8</v>
      </c>
      <c r="K86" s="109"/>
      <c r="L86" s="95"/>
      <c r="M86" s="109"/>
      <c r="N86" s="3">
        <v>5</v>
      </c>
      <c r="O86" s="109"/>
      <c r="P86" s="109"/>
      <c r="Q86" s="109"/>
      <c r="R86" s="109"/>
      <c r="S86" s="109">
        <v>0</v>
      </c>
      <c r="T86" s="109"/>
      <c r="U86" s="109"/>
      <c r="V86" s="6"/>
    </row>
    <row r="87" spans="2:22" x14ac:dyDescent="0.25">
      <c r="B87" s="261"/>
      <c r="C87" s="91">
        <v>10</v>
      </c>
      <c r="D87" s="91">
        <v>8</v>
      </c>
      <c r="E87" s="91">
        <v>9</v>
      </c>
      <c r="F87" s="91">
        <v>10</v>
      </c>
      <c r="G87" s="91">
        <v>9</v>
      </c>
      <c r="H87" s="91">
        <v>9</v>
      </c>
      <c r="I87" s="91">
        <v>9</v>
      </c>
      <c r="J87" s="6">
        <v>8.5</v>
      </c>
      <c r="K87" s="109"/>
      <c r="L87" s="95"/>
      <c r="M87" s="109"/>
      <c r="N87" s="3">
        <v>5</v>
      </c>
      <c r="O87" s="109"/>
      <c r="P87" s="109"/>
      <c r="Q87" s="109"/>
      <c r="R87" s="109"/>
      <c r="S87" s="109">
        <v>0</v>
      </c>
      <c r="T87" s="109"/>
      <c r="U87" s="109"/>
      <c r="V87" s="6"/>
    </row>
    <row r="88" spans="2:22" x14ac:dyDescent="0.25">
      <c r="B88" s="261"/>
      <c r="C88" s="91">
        <v>10</v>
      </c>
      <c r="D88" s="91">
        <v>9</v>
      </c>
      <c r="E88" s="91">
        <v>9</v>
      </c>
      <c r="F88" s="91">
        <v>10</v>
      </c>
      <c r="G88" s="91">
        <v>9</v>
      </c>
      <c r="H88" s="91">
        <v>9</v>
      </c>
      <c r="I88" s="91">
        <v>9</v>
      </c>
      <c r="J88" s="6">
        <v>8.5</v>
      </c>
      <c r="K88" s="109"/>
      <c r="L88" s="95"/>
      <c r="M88" s="109"/>
      <c r="N88" s="3">
        <v>5</v>
      </c>
      <c r="O88" s="109"/>
      <c r="P88" s="109"/>
      <c r="Q88" s="109"/>
      <c r="R88" s="109"/>
      <c r="S88" s="109">
        <v>0</v>
      </c>
      <c r="T88" s="109"/>
      <c r="U88" s="109"/>
      <c r="V88" s="6"/>
    </row>
    <row r="89" spans="2:22" x14ac:dyDescent="0.25">
      <c r="B89" s="261"/>
      <c r="C89" s="91">
        <v>10</v>
      </c>
      <c r="D89" s="91">
        <v>9</v>
      </c>
      <c r="E89" s="91">
        <v>9</v>
      </c>
      <c r="F89" s="91">
        <v>10</v>
      </c>
      <c r="G89" s="91">
        <v>9</v>
      </c>
      <c r="H89" s="91">
        <v>9</v>
      </c>
      <c r="I89" s="91">
        <v>9</v>
      </c>
      <c r="J89" s="6">
        <v>10</v>
      </c>
      <c r="K89" s="109"/>
      <c r="L89" s="95"/>
      <c r="M89" s="109"/>
      <c r="N89" s="3">
        <v>5</v>
      </c>
      <c r="O89" s="109"/>
      <c r="P89" s="109"/>
      <c r="Q89" s="109"/>
      <c r="R89" s="109"/>
      <c r="S89" s="109">
        <v>0</v>
      </c>
      <c r="T89" s="109"/>
      <c r="U89" s="109"/>
      <c r="V89" s="6"/>
    </row>
    <row r="90" spans="2:22" x14ac:dyDescent="0.25">
      <c r="B90" s="261"/>
      <c r="C90" s="91">
        <v>10</v>
      </c>
      <c r="D90" s="91">
        <v>9</v>
      </c>
      <c r="E90" s="91">
        <v>9</v>
      </c>
      <c r="F90" s="91">
        <v>9</v>
      </c>
      <c r="G90" s="91">
        <v>9</v>
      </c>
      <c r="H90" s="91">
        <v>9</v>
      </c>
      <c r="I90" s="91">
        <v>9</v>
      </c>
      <c r="J90" s="6">
        <v>9</v>
      </c>
      <c r="K90" s="109"/>
      <c r="L90" s="95"/>
      <c r="M90" s="109"/>
      <c r="N90" s="3">
        <v>5</v>
      </c>
      <c r="O90" s="109"/>
      <c r="P90" s="109"/>
      <c r="Q90" s="109"/>
      <c r="R90" s="109"/>
      <c r="S90" s="109">
        <v>0</v>
      </c>
      <c r="T90" s="109"/>
      <c r="U90" s="109"/>
      <c r="V90" s="6"/>
    </row>
    <row r="91" spans="2:22" x14ac:dyDescent="0.25">
      <c r="B91" s="261"/>
      <c r="C91" s="91">
        <v>10</v>
      </c>
      <c r="D91" s="91">
        <v>9</v>
      </c>
      <c r="E91" s="91">
        <v>9</v>
      </c>
      <c r="F91" s="91">
        <v>9</v>
      </c>
      <c r="G91" s="91">
        <v>9</v>
      </c>
      <c r="H91" s="91">
        <v>9</v>
      </c>
      <c r="I91" s="91">
        <v>9</v>
      </c>
      <c r="J91" s="6">
        <v>9</v>
      </c>
      <c r="K91" s="109"/>
      <c r="L91" s="95"/>
      <c r="M91" s="109"/>
      <c r="N91" s="3">
        <v>5</v>
      </c>
      <c r="O91" s="109"/>
      <c r="P91" s="109"/>
      <c r="Q91" s="109"/>
      <c r="R91" s="109"/>
      <c r="S91" s="109">
        <v>0</v>
      </c>
      <c r="T91" s="109"/>
      <c r="U91" s="109"/>
      <c r="V91" s="6"/>
    </row>
    <row r="92" spans="2:22" x14ac:dyDescent="0.25">
      <c r="B92" s="261"/>
      <c r="C92" s="91">
        <v>10</v>
      </c>
      <c r="D92" s="91">
        <v>9</v>
      </c>
      <c r="E92" s="91">
        <v>10</v>
      </c>
      <c r="F92" s="91">
        <v>9</v>
      </c>
      <c r="G92" s="91">
        <v>9</v>
      </c>
      <c r="H92" s="91">
        <v>9</v>
      </c>
      <c r="I92" s="91">
        <v>9</v>
      </c>
      <c r="J92" s="6">
        <v>9</v>
      </c>
      <c r="K92" s="109"/>
      <c r="L92" s="109"/>
      <c r="M92" s="109"/>
      <c r="N92" s="3">
        <v>5</v>
      </c>
      <c r="O92" s="109"/>
      <c r="P92" s="109"/>
      <c r="Q92" s="109"/>
      <c r="R92" s="109"/>
      <c r="S92" s="109">
        <v>0</v>
      </c>
      <c r="T92" s="109"/>
      <c r="U92" s="109"/>
      <c r="V92" s="6"/>
    </row>
    <row r="93" spans="2:22" x14ac:dyDescent="0.25">
      <c r="B93" s="261"/>
      <c r="C93" s="91">
        <v>10</v>
      </c>
      <c r="D93" s="91">
        <v>9</v>
      </c>
      <c r="E93" s="91">
        <v>10</v>
      </c>
      <c r="F93" s="91">
        <v>10</v>
      </c>
      <c r="G93" s="91">
        <v>9</v>
      </c>
      <c r="H93" s="91">
        <v>9</v>
      </c>
      <c r="I93" s="91">
        <v>9</v>
      </c>
      <c r="J93" s="6">
        <v>9</v>
      </c>
      <c r="K93" s="109"/>
      <c r="L93" s="109"/>
      <c r="M93" s="109"/>
      <c r="N93" s="3">
        <v>5</v>
      </c>
      <c r="O93" s="109"/>
      <c r="P93" s="109"/>
      <c r="Q93" s="109"/>
      <c r="R93" s="109"/>
      <c r="S93" s="109">
        <v>0</v>
      </c>
      <c r="T93" s="109"/>
      <c r="U93" s="109"/>
      <c r="V93" s="6"/>
    </row>
    <row r="94" spans="2:22" x14ac:dyDescent="0.25">
      <c r="B94" s="261"/>
      <c r="C94" s="91">
        <v>10</v>
      </c>
      <c r="D94" s="91">
        <v>9</v>
      </c>
      <c r="E94" s="91">
        <v>10</v>
      </c>
      <c r="F94" s="91">
        <v>9</v>
      </c>
      <c r="G94" s="91">
        <v>9</v>
      </c>
      <c r="H94" s="91">
        <v>9</v>
      </c>
      <c r="I94" s="91">
        <v>9</v>
      </c>
      <c r="J94" s="6">
        <v>9</v>
      </c>
      <c r="K94" s="109"/>
      <c r="L94" s="109"/>
      <c r="M94" s="109"/>
      <c r="N94" s="3">
        <v>5</v>
      </c>
      <c r="O94" s="109"/>
      <c r="P94" s="109"/>
      <c r="Q94" s="109"/>
      <c r="R94" s="109"/>
      <c r="S94" s="109">
        <v>0</v>
      </c>
      <c r="T94" s="109"/>
      <c r="U94" s="109"/>
      <c r="V94" s="6"/>
    </row>
    <row r="95" spans="2:22" x14ac:dyDescent="0.25">
      <c r="B95" s="261"/>
      <c r="C95" s="91">
        <v>10</v>
      </c>
      <c r="D95" s="91">
        <v>10</v>
      </c>
      <c r="E95" s="91">
        <v>10</v>
      </c>
      <c r="F95" s="91">
        <v>9</v>
      </c>
      <c r="G95" s="91">
        <v>9</v>
      </c>
      <c r="H95" s="91">
        <v>9</v>
      </c>
      <c r="I95" s="91">
        <v>9</v>
      </c>
      <c r="J95" s="6">
        <v>9</v>
      </c>
      <c r="K95" s="109"/>
      <c r="L95" s="109"/>
      <c r="M95" s="109"/>
      <c r="N95" s="3">
        <v>5</v>
      </c>
      <c r="O95" s="109"/>
      <c r="P95" s="109"/>
      <c r="Q95" s="109"/>
      <c r="R95" s="109"/>
      <c r="S95" s="109">
        <v>0</v>
      </c>
      <c r="T95" s="109"/>
      <c r="U95" s="109"/>
      <c r="V95" s="6"/>
    </row>
    <row r="96" spans="2:22" x14ac:dyDescent="0.25">
      <c r="B96" s="261"/>
      <c r="C96" s="91">
        <v>10</v>
      </c>
      <c r="D96" s="91">
        <v>10</v>
      </c>
      <c r="E96" s="91">
        <v>10</v>
      </c>
      <c r="F96" s="91">
        <v>9</v>
      </c>
      <c r="G96" s="91">
        <v>10</v>
      </c>
      <c r="H96" s="91">
        <v>10</v>
      </c>
      <c r="I96" s="91">
        <v>9</v>
      </c>
      <c r="J96" s="6">
        <v>9</v>
      </c>
      <c r="K96" s="109"/>
      <c r="L96" s="109"/>
      <c r="M96" s="109"/>
      <c r="N96" s="3">
        <v>5</v>
      </c>
      <c r="O96" s="109"/>
      <c r="P96" s="109"/>
      <c r="Q96" s="109"/>
      <c r="R96" s="109"/>
      <c r="S96" s="109">
        <v>0</v>
      </c>
      <c r="T96" s="109"/>
      <c r="U96" s="109"/>
      <c r="V96" s="6"/>
    </row>
    <row r="97" spans="2:22" x14ac:dyDescent="0.25">
      <c r="B97" s="261"/>
      <c r="C97" s="91">
        <v>10</v>
      </c>
      <c r="D97" s="91">
        <v>10</v>
      </c>
      <c r="E97" s="91">
        <v>10</v>
      </c>
      <c r="F97" s="91">
        <v>9</v>
      </c>
      <c r="G97" s="91">
        <v>10</v>
      </c>
      <c r="H97" s="91">
        <v>10</v>
      </c>
      <c r="I97" s="91">
        <v>9</v>
      </c>
      <c r="J97" s="6">
        <v>9</v>
      </c>
      <c r="K97" s="109"/>
      <c r="L97" s="109"/>
      <c r="M97" s="109"/>
      <c r="N97" s="3">
        <v>5</v>
      </c>
      <c r="O97" s="109"/>
      <c r="P97" s="109"/>
      <c r="Q97" s="109"/>
      <c r="R97" s="109"/>
      <c r="S97" s="109">
        <v>0</v>
      </c>
      <c r="T97" s="109"/>
      <c r="U97" s="109"/>
      <c r="V97" s="6"/>
    </row>
    <row r="98" spans="2:22" x14ac:dyDescent="0.25">
      <c r="B98" s="261"/>
      <c r="C98" s="91">
        <v>10</v>
      </c>
      <c r="D98" s="91">
        <v>10</v>
      </c>
      <c r="E98" s="91">
        <v>10</v>
      </c>
      <c r="F98" s="91">
        <v>10</v>
      </c>
      <c r="G98" s="91">
        <v>10</v>
      </c>
      <c r="H98" s="91">
        <v>10</v>
      </c>
      <c r="I98" s="91">
        <v>9</v>
      </c>
      <c r="J98" s="6">
        <v>9</v>
      </c>
      <c r="K98" s="109"/>
      <c r="L98" s="109"/>
      <c r="M98" s="109"/>
      <c r="N98" s="3">
        <v>5</v>
      </c>
      <c r="O98" s="109"/>
      <c r="P98" s="109"/>
      <c r="Q98" s="109"/>
      <c r="R98" s="109"/>
      <c r="S98" s="109">
        <v>0</v>
      </c>
      <c r="T98" s="109"/>
      <c r="U98" s="109"/>
      <c r="V98" s="6"/>
    </row>
    <row r="99" spans="2:22" x14ac:dyDescent="0.25">
      <c r="B99" s="261"/>
      <c r="C99" s="91">
        <v>10</v>
      </c>
      <c r="D99" s="91">
        <v>10</v>
      </c>
      <c r="E99" s="91">
        <v>10</v>
      </c>
      <c r="F99" s="91">
        <v>10</v>
      </c>
      <c r="G99" s="91">
        <v>10</v>
      </c>
      <c r="H99" s="91">
        <v>10</v>
      </c>
      <c r="I99" s="91">
        <v>9</v>
      </c>
      <c r="J99" s="6">
        <v>9</v>
      </c>
      <c r="K99" s="109"/>
      <c r="L99" s="109"/>
      <c r="M99" s="109"/>
      <c r="N99" s="3">
        <v>5</v>
      </c>
      <c r="O99" s="109"/>
      <c r="P99" s="109"/>
      <c r="Q99" s="109"/>
      <c r="R99" s="109"/>
      <c r="S99" s="109">
        <v>0</v>
      </c>
      <c r="T99" s="109"/>
      <c r="U99" s="109"/>
      <c r="V99" s="6"/>
    </row>
    <row r="100" spans="2:22" x14ac:dyDescent="0.25">
      <c r="B100" s="261"/>
      <c r="C100" s="91">
        <v>10</v>
      </c>
      <c r="D100" s="91">
        <v>10</v>
      </c>
      <c r="E100" s="91">
        <v>10</v>
      </c>
      <c r="F100" s="91">
        <v>10</v>
      </c>
      <c r="G100" s="91">
        <v>10</v>
      </c>
      <c r="H100" s="91">
        <v>10</v>
      </c>
      <c r="I100" s="91">
        <v>9</v>
      </c>
      <c r="J100" s="6">
        <v>9</v>
      </c>
      <c r="K100" s="109"/>
      <c r="L100" s="109"/>
      <c r="M100" s="109"/>
      <c r="N100" s="3">
        <v>5</v>
      </c>
      <c r="O100" s="109"/>
      <c r="P100" s="109"/>
      <c r="Q100" s="109"/>
      <c r="R100" s="109"/>
      <c r="S100" s="109">
        <v>0</v>
      </c>
      <c r="T100" s="109"/>
      <c r="U100" s="109"/>
      <c r="V100" s="6"/>
    </row>
    <row r="101" spans="2:22" x14ac:dyDescent="0.25">
      <c r="B101" s="261"/>
      <c r="C101" s="91">
        <v>10</v>
      </c>
      <c r="D101" s="91">
        <v>10</v>
      </c>
      <c r="E101" s="91">
        <v>10</v>
      </c>
      <c r="F101" s="91">
        <v>10</v>
      </c>
      <c r="G101" s="91">
        <v>10</v>
      </c>
      <c r="H101" s="91">
        <v>10</v>
      </c>
      <c r="I101" s="91">
        <v>9</v>
      </c>
      <c r="J101" s="6">
        <v>9</v>
      </c>
      <c r="K101" s="109"/>
      <c r="L101" s="109"/>
      <c r="M101" s="109"/>
      <c r="N101" s="3">
        <v>5</v>
      </c>
      <c r="O101" s="109"/>
      <c r="P101" s="109"/>
      <c r="Q101" s="109"/>
      <c r="R101" s="109"/>
      <c r="S101" s="109">
        <v>0</v>
      </c>
      <c r="T101" s="109"/>
      <c r="U101" s="109"/>
      <c r="V101" s="6"/>
    </row>
    <row r="102" spans="2:22" x14ac:dyDescent="0.25">
      <c r="B102" s="262"/>
      <c r="C102" s="18">
        <v>10</v>
      </c>
      <c r="D102" s="18">
        <v>10</v>
      </c>
      <c r="E102" s="18">
        <v>10</v>
      </c>
      <c r="F102" s="18">
        <v>10</v>
      </c>
      <c r="G102" s="18">
        <v>10</v>
      </c>
      <c r="H102" s="18">
        <v>10</v>
      </c>
      <c r="I102" s="18">
        <v>9</v>
      </c>
      <c r="J102" s="19">
        <v>9</v>
      </c>
      <c r="K102" s="109"/>
      <c r="L102" s="109"/>
      <c r="M102" s="109"/>
      <c r="N102" s="3">
        <v>5</v>
      </c>
      <c r="O102" s="109"/>
      <c r="P102" s="109"/>
      <c r="Q102" s="109"/>
      <c r="R102" s="109"/>
      <c r="S102" s="109">
        <v>0</v>
      </c>
      <c r="T102" s="109"/>
      <c r="U102" s="109"/>
      <c r="V102" s="6"/>
    </row>
    <row r="103" spans="2:22" x14ac:dyDescent="0.25">
      <c r="B103" s="43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3">
        <v>5</v>
      </c>
      <c r="O103" s="109"/>
      <c r="P103" s="109"/>
      <c r="Q103" s="109"/>
      <c r="R103" s="109"/>
      <c r="S103" s="109">
        <v>0</v>
      </c>
      <c r="T103" s="109"/>
      <c r="U103" s="109"/>
      <c r="V103" s="6"/>
    </row>
    <row r="104" spans="2:22" x14ac:dyDescent="0.25">
      <c r="B104" s="43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3">
        <v>5</v>
      </c>
      <c r="O104" s="109"/>
      <c r="P104" s="109"/>
      <c r="Q104" s="109"/>
      <c r="R104" s="109"/>
      <c r="S104" s="109">
        <v>0</v>
      </c>
      <c r="T104" s="109"/>
      <c r="U104" s="109"/>
      <c r="V104" s="6"/>
    </row>
    <row r="105" spans="2:22" x14ac:dyDescent="0.25">
      <c r="B105" s="43"/>
      <c r="C105" s="109"/>
      <c r="D105" s="109"/>
      <c r="E105" s="109"/>
      <c r="F105" s="109"/>
      <c r="G105" s="109"/>
      <c r="H105" s="109"/>
      <c r="I105" s="109"/>
      <c r="J105" s="109"/>
      <c r="K105" s="109"/>
      <c r="M105" s="109"/>
      <c r="N105" s="3">
        <v>5</v>
      </c>
      <c r="O105" s="109"/>
      <c r="P105" s="109"/>
      <c r="Q105" s="109"/>
      <c r="R105" s="109"/>
      <c r="S105" s="109">
        <v>0</v>
      </c>
      <c r="T105" s="109"/>
      <c r="U105" s="109"/>
      <c r="V105" s="6"/>
    </row>
    <row r="106" spans="2:22" x14ac:dyDescent="0.25">
      <c r="B106" s="43"/>
      <c r="C106" s="109"/>
      <c r="D106" s="109"/>
      <c r="E106" s="109"/>
      <c r="F106" s="109"/>
      <c r="G106" s="109"/>
      <c r="H106" s="109"/>
      <c r="I106" s="109"/>
      <c r="J106" s="109"/>
      <c r="K106" s="109"/>
      <c r="M106" s="109"/>
      <c r="N106" s="3">
        <v>5</v>
      </c>
      <c r="O106" s="109"/>
      <c r="P106" s="109"/>
      <c r="Q106" s="109"/>
      <c r="R106" s="109"/>
      <c r="S106" s="109">
        <v>0</v>
      </c>
      <c r="T106" s="109"/>
      <c r="U106" s="109"/>
      <c r="V106" s="6"/>
    </row>
    <row r="107" spans="2:22" x14ac:dyDescent="0.25">
      <c r="B107" s="43"/>
      <c r="C107" s="109"/>
      <c r="D107" s="109"/>
      <c r="E107" s="109"/>
      <c r="F107" s="109"/>
      <c r="G107" s="109"/>
      <c r="H107" s="109"/>
      <c r="I107" s="109"/>
      <c r="J107" s="109"/>
      <c r="K107" s="109"/>
      <c r="M107" s="109"/>
      <c r="N107" s="3">
        <v>5</v>
      </c>
      <c r="O107" s="109"/>
      <c r="P107" s="109"/>
      <c r="Q107" s="109"/>
      <c r="R107" s="109"/>
      <c r="S107" s="109"/>
      <c r="T107" s="109">
        <v>0</v>
      </c>
      <c r="U107" s="109"/>
      <c r="V107" s="6"/>
    </row>
    <row r="108" spans="2:22" x14ac:dyDescent="0.25">
      <c r="B108" s="43"/>
      <c r="C108" s="109"/>
      <c r="D108" s="109"/>
      <c r="E108" s="109"/>
      <c r="F108" s="109"/>
      <c r="G108" s="109"/>
      <c r="H108" s="109"/>
      <c r="I108" s="109"/>
      <c r="J108" s="109"/>
      <c r="K108" s="109"/>
      <c r="M108" s="109"/>
      <c r="N108" s="3">
        <v>5</v>
      </c>
      <c r="O108" s="109"/>
      <c r="P108" s="109"/>
      <c r="Q108" s="109"/>
      <c r="R108" s="109"/>
      <c r="S108" s="109"/>
      <c r="T108" s="109">
        <v>0</v>
      </c>
      <c r="U108" s="109"/>
      <c r="V108" s="6"/>
    </row>
    <row r="109" spans="2:22" x14ac:dyDescent="0.25">
      <c r="B109" s="43"/>
      <c r="C109" s="109"/>
      <c r="D109" s="109"/>
      <c r="E109" s="109"/>
      <c r="F109" s="109"/>
      <c r="G109" s="109"/>
      <c r="H109" s="109"/>
      <c r="I109" s="109"/>
      <c r="J109" s="109"/>
      <c r="K109" s="109"/>
      <c r="M109" s="109"/>
      <c r="N109" s="3">
        <v>5</v>
      </c>
      <c r="O109" s="109"/>
      <c r="P109" s="109"/>
      <c r="Q109" s="109"/>
      <c r="R109" s="109"/>
      <c r="S109" s="109"/>
      <c r="T109" s="109">
        <v>0</v>
      </c>
      <c r="U109" s="109"/>
      <c r="V109" s="6"/>
    </row>
    <row r="110" spans="2:22" x14ac:dyDescent="0.25">
      <c r="B110" s="43"/>
      <c r="C110" s="109"/>
      <c r="D110" s="109"/>
      <c r="E110" s="109"/>
      <c r="F110" s="109"/>
      <c r="G110" s="109"/>
      <c r="H110" s="109"/>
      <c r="I110" s="109"/>
      <c r="J110" s="109"/>
      <c r="K110" s="109"/>
      <c r="M110" s="109"/>
      <c r="N110" s="3">
        <v>5</v>
      </c>
      <c r="O110" s="109"/>
      <c r="P110" s="109"/>
      <c r="Q110" s="109"/>
      <c r="R110" s="109"/>
      <c r="S110" s="109"/>
      <c r="T110" s="109">
        <v>0</v>
      </c>
      <c r="U110" s="109"/>
      <c r="V110" s="6"/>
    </row>
    <row r="111" spans="2:22" x14ac:dyDescent="0.25">
      <c r="B111" s="43"/>
      <c r="C111" s="109"/>
      <c r="D111" s="109"/>
      <c r="E111" s="109"/>
      <c r="F111" s="109"/>
      <c r="G111" s="109"/>
      <c r="H111" s="109"/>
      <c r="I111" s="109"/>
      <c r="J111" s="109"/>
      <c r="K111" s="109"/>
      <c r="M111" s="109"/>
      <c r="N111" s="3">
        <v>5</v>
      </c>
      <c r="O111" s="109"/>
      <c r="P111" s="109"/>
      <c r="Q111" s="109"/>
      <c r="R111" s="109"/>
      <c r="S111" s="109"/>
      <c r="T111" s="109">
        <v>0</v>
      </c>
      <c r="U111" s="109"/>
      <c r="V111" s="6"/>
    </row>
    <row r="112" spans="2:22" x14ac:dyDescent="0.25">
      <c r="B112" s="43"/>
      <c r="C112" s="109"/>
      <c r="D112" s="109"/>
      <c r="E112" s="109"/>
      <c r="F112" s="109"/>
      <c r="G112" s="109"/>
      <c r="H112" s="109"/>
      <c r="I112" s="109"/>
      <c r="J112" s="109"/>
      <c r="K112" s="109"/>
      <c r="M112" s="109"/>
      <c r="N112" s="3">
        <v>5</v>
      </c>
      <c r="O112" s="109"/>
      <c r="P112" s="109"/>
      <c r="Q112" s="109"/>
      <c r="R112" s="109"/>
      <c r="S112" s="109"/>
      <c r="T112" s="109">
        <v>0</v>
      </c>
      <c r="U112" s="109"/>
      <c r="V112" s="6"/>
    </row>
    <row r="113" spans="2:22" x14ac:dyDescent="0.25">
      <c r="B113" s="43"/>
      <c r="C113" s="109"/>
      <c r="D113" s="109"/>
      <c r="E113" s="109"/>
      <c r="F113" s="109"/>
      <c r="G113" s="109"/>
      <c r="H113" s="109"/>
      <c r="I113" s="109"/>
      <c r="J113" s="109"/>
      <c r="K113" s="109"/>
      <c r="M113" s="109"/>
      <c r="N113" s="3">
        <v>5</v>
      </c>
      <c r="O113" s="109"/>
      <c r="P113" s="109"/>
      <c r="Q113" s="109"/>
      <c r="R113" s="109"/>
      <c r="S113" s="109"/>
      <c r="T113" s="109">
        <v>0</v>
      </c>
      <c r="U113" s="109"/>
      <c r="V113" s="6"/>
    </row>
    <row r="114" spans="2:22" x14ac:dyDescent="0.25">
      <c r="B114" s="43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3">
        <v>5</v>
      </c>
      <c r="O114" s="109"/>
      <c r="P114" s="109"/>
      <c r="Q114" s="109"/>
      <c r="R114" s="109"/>
      <c r="S114" s="109"/>
      <c r="T114" s="109">
        <v>0</v>
      </c>
      <c r="U114" s="109"/>
      <c r="V114" s="6"/>
    </row>
    <row r="115" spans="2:22" x14ac:dyDescent="0.25">
      <c r="B115" s="43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3">
        <v>5</v>
      </c>
      <c r="O115" s="109"/>
      <c r="P115" s="109"/>
      <c r="Q115" s="109"/>
      <c r="R115" s="109"/>
      <c r="S115" s="109"/>
      <c r="T115" s="109">
        <v>0</v>
      </c>
      <c r="U115" s="109"/>
      <c r="V115" s="6"/>
    </row>
    <row r="116" spans="2:22" x14ac:dyDescent="0.25">
      <c r="B116" s="43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3">
        <v>5</v>
      </c>
      <c r="O116" s="109"/>
      <c r="P116" s="109"/>
      <c r="Q116" s="109"/>
      <c r="R116" s="109"/>
      <c r="S116" s="109"/>
      <c r="T116" s="109">
        <v>0</v>
      </c>
      <c r="U116" s="109"/>
      <c r="V116" s="6"/>
    </row>
    <row r="117" spans="2:22" x14ac:dyDescent="0.25">
      <c r="B117" s="43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3">
        <v>5</v>
      </c>
      <c r="O117" s="109"/>
      <c r="P117" s="109"/>
      <c r="Q117" s="109"/>
      <c r="R117" s="109"/>
      <c r="S117" s="109"/>
      <c r="T117" s="109">
        <v>0</v>
      </c>
      <c r="U117" s="109"/>
      <c r="V117" s="6"/>
    </row>
    <row r="118" spans="2:22" x14ac:dyDescent="0.25">
      <c r="B118" s="43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3">
        <v>5</v>
      </c>
      <c r="O118" s="109"/>
      <c r="P118" s="109"/>
      <c r="Q118" s="109"/>
      <c r="R118" s="109"/>
      <c r="S118" s="109"/>
      <c r="T118" s="109">
        <v>0</v>
      </c>
      <c r="U118" s="109"/>
      <c r="V118" s="6"/>
    </row>
    <row r="119" spans="2:22" x14ac:dyDescent="0.25">
      <c r="B119" s="43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3">
        <v>5</v>
      </c>
      <c r="O119" s="109"/>
      <c r="P119" s="109"/>
      <c r="Q119" s="109"/>
      <c r="R119" s="109"/>
      <c r="S119" s="109"/>
      <c r="T119" s="109">
        <v>0</v>
      </c>
      <c r="U119" s="109"/>
      <c r="V119" s="6"/>
    </row>
    <row r="120" spans="2:22" x14ac:dyDescent="0.25">
      <c r="B120" s="43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3">
        <v>5</v>
      </c>
      <c r="O120" s="109"/>
      <c r="P120" s="109"/>
      <c r="Q120" s="109"/>
      <c r="R120" s="109"/>
      <c r="S120" s="109"/>
      <c r="T120" s="109">
        <v>0</v>
      </c>
      <c r="U120" s="109"/>
      <c r="V120" s="6"/>
    </row>
    <row r="121" spans="2:22" x14ac:dyDescent="0.25">
      <c r="B121" s="43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3">
        <v>5</v>
      </c>
      <c r="O121" s="109"/>
      <c r="P121" s="109"/>
      <c r="Q121" s="109"/>
      <c r="R121" s="109"/>
      <c r="S121" s="109"/>
      <c r="T121" s="109">
        <v>0</v>
      </c>
      <c r="U121" s="109"/>
      <c r="V121" s="6"/>
    </row>
    <row r="122" spans="2:22" x14ac:dyDescent="0.25">
      <c r="B122" s="43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3">
        <v>5</v>
      </c>
      <c r="O122" s="109"/>
      <c r="P122" s="109"/>
      <c r="Q122" s="109"/>
      <c r="R122" s="109"/>
      <c r="S122" s="109"/>
      <c r="T122" s="109">
        <v>0</v>
      </c>
      <c r="U122" s="109"/>
      <c r="V122" s="6"/>
    </row>
    <row r="123" spans="2:22" x14ac:dyDescent="0.25">
      <c r="B123" s="43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3">
        <v>5</v>
      </c>
      <c r="O123" s="109"/>
      <c r="P123" s="109"/>
      <c r="Q123" s="109"/>
      <c r="R123" s="109"/>
      <c r="S123" s="109"/>
      <c r="T123" s="109">
        <v>0</v>
      </c>
      <c r="U123" s="109"/>
      <c r="V123" s="6"/>
    </row>
    <row r="124" spans="2:22" x14ac:dyDescent="0.25">
      <c r="B124" s="43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3">
        <v>5</v>
      </c>
      <c r="O124" s="109"/>
      <c r="P124" s="109"/>
      <c r="Q124" s="109"/>
      <c r="R124" s="109"/>
      <c r="S124" s="109"/>
      <c r="T124" s="109">
        <v>0</v>
      </c>
      <c r="U124" s="109"/>
      <c r="V124" s="6"/>
    </row>
    <row r="125" spans="2:22" x14ac:dyDescent="0.25">
      <c r="B125" s="43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3">
        <v>5</v>
      </c>
      <c r="O125" s="109"/>
      <c r="P125" s="109"/>
      <c r="Q125" s="109"/>
      <c r="R125" s="109"/>
      <c r="S125" s="109"/>
      <c r="T125" s="109">
        <v>0</v>
      </c>
      <c r="U125" s="109"/>
      <c r="V125" s="6"/>
    </row>
    <row r="126" spans="2:22" x14ac:dyDescent="0.25">
      <c r="B126" s="43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3">
        <v>5</v>
      </c>
      <c r="O126" s="109"/>
      <c r="P126" s="109"/>
      <c r="Q126" s="109"/>
      <c r="R126" s="109"/>
      <c r="S126" s="109"/>
      <c r="T126" s="109">
        <v>0</v>
      </c>
      <c r="U126" s="109"/>
      <c r="V126" s="6"/>
    </row>
    <row r="127" spans="2:22" x14ac:dyDescent="0.25">
      <c r="B127" s="43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3">
        <v>5</v>
      </c>
      <c r="O127" s="109"/>
      <c r="P127" s="109"/>
      <c r="Q127" s="109"/>
      <c r="R127" s="109"/>
      <c r="S127" s="109"/>
      <c r="T127" s="109">
        <v>0</v>
      </c>
      <c r="U127" s="109"/>
      <c r="V127" s="6"/>
    </row>
    <row r="128" spans="2:22" x14ac:dyDescent="0.25">
      <c r="B128" s="43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3">
        <v>5</v>
      </c>
      <c r="O128" s="109"/>
      <c r="P128" s="109"/>
      <c r="Q128" s="109"/>
      <c r="R128" s="109"/>
      <c r="S128" s="109"/>
      <c r="T128" s="109"/>
      <c r="U128" s="109">
        <v>0</v>
      </c>
      <c r="V128" s="6"/>
    </row>
    <row r="129" spans="2:22" x14ac:dyDescent="0.25">
      <c r="B129" s="43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3">
        <v>5</v>
      </c>
      <c r="O129" s="109"/>
      <c r="P129" s="109"/>
      <c r="Q129" s="109"/>
      <c r="R129" s="109"/>
      <c r="S129" s="109"/>
      <c r="T129" s="109"/>
      <c r="U129" s="109">
        <v>0</v>
      </c>
      <c r="V129" s="6"/>
    </row>
    <row r="130" spans="2:22" x14ac:dyDescent="0.25">
      <c r="B130" s="43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3">
        <v>5</v>
      </c>
      <c r="O130" s="109"/>
      <c r="P130" s="109"/>
      <c r="Q130" s="109"/>
      <c r="R130" s="109"/>
      <c r="S130" s="109"/>
      <c r="T130" s="109"/>
      <c r="U130" s="109">
        <v>0</v>
      </c>
      <c r="V130" s="6"/>
    </row>
    <row r="131" spans="2:22" x14ac:dyDescent="0.25">
      <c r="B131" s="43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3">
        <v>5</v>
      </c>
      <c r="O131" s="109"/>
      <c r="P131" s="109"/>
      <c r="Q131" s="109"/>
      <c r="R131" s="109"/>
      <c r="S131" s="109"/>
      <c r="T131" s="109"/>
      <c r="U131" s="109">
        <v>0</v>
      </c>
      <c r="V131" s="6"/>
    </row>
    <row r="132" spans="2:22" x14ac:dyDescent="0.25">
      <c r="B132" s="43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3">
        <v>5</v>
      </c>
      <c r="O132" s="109"/>
      <c r="P132" s="109"/>
      <c r="Q132" s="109"/>
      <c r="R132" s="109"/>
      <c r="S132" s="109"/>
      <c r="T132" s="109"/>
      <c r="U132" s="109">
        <v>0</v>
      </c>
      <c r="V132" s="6"/>
    </row>
    <row r="133" spans="2:22" x14ac:dyDescent="0.25">
      <c r="B133" s="43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3">
        <v>5</v>
      </c>
      <c r="O133" s="109"/>
      <c r="P133" s="109"/>
      <c r="Q133" s="109"/>
      <c r="R133" s="109"/>
      <c r="S133" s="109"/>
      <c r="T133" s="109"/>
      <c r="U133" s="109">
        <v>0</v>
      </c>
      <c r="V133" s="6"/>
    </row>
    <row r="134" spans="2:22" x14ac:dyDescent="0.25">
      <c r="B134" s="43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3">
        <v>5</v>
      </c>
      <c r="O134" s="109"/>
      <c r="P134" s="109"/>
      <c r="Q134" s="109"/>
      <c r="R134" s="109"/>
      <c r="S134" s="109"/>
      <c r="T134" s="109"/>
      <c r="U134" s="109">
        <v>0</v>
      </c>
      <c r="V134" s="6"/>
    </row>
    <row r="135" spans="2:22" x14ac:dyDescent="0.25">
      <c r="B135" s="43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3">
        <v>5</v>
      </c>
      <c r="O135" s="109"/>
      <c r="P135" s="109"/>
      <c r="Q135" s="109"/>
      <c r="R135" s="109"/>
      <c r="S135" s="109"/>
      <c r="T135" s="109"/>
      <c r="U135" s="109">
        <v>0</v>
      </c>
      <c r="V135" s="6"/>
    </row>
    <row r="136" spans="2:22" x14ac:dyDescent="0.25">
      <c r="B136" s="43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3">
        <v>5</v>
      </c>
      <c r="O136" s="109"/>
      <c r="P136" s="109"/>
      <c r="Q136" s="109"/>
      <c r="R136" s="109"/>
      <c r="S136" s="109"/>
      <c r="T136" s="109"/>
      <c r="U136" s="109">
        <v>0</v>
      </c>
      <c r="V136" s="6"/>
    </row>
    <row r="137" spans="2:22" x14ac:dyDescent="0.25">
      <c r="B137" s="43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3">
        <v>5</v>
      </c>
      <c r="O137" s="109"/>
      <c r="P137" s="109"/>
      <c r="Q137" s="109"/>
      <c r="R137" s="109"/>
      <c r="S137" s="109"/>
      <c r="T137" s="109"/>
      <c r="U137" s="109">
        <v>0</v>
      </c>
      <c r="V137" s="6"/>
    </row>
    <row r="138" spans="2:22" x14ac:dyDescent="0.25">
      <c r="B138" s="43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3">
        <v>5</v>
      </c>
      <c r="O138" s="109"/>
      <c r="P138" s="109"/>
      <c r="Q138" s="109"/>
      <c r="R138" s="109"/>
      <c r="S138" s="109"/>
      <c r="T138" s="109"/>
      <c r="U138" s="109">
        <v>0</v>
      </c>
      <c r="V138" s="6"/>
    </row>
    <row r="139" spans="2:22" x14ac:dyDescent="0.25">
      <c r="B139" s="43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3">
        <v>5</v>
      </c>
      <c r="O139" s="109"/>
      <c r="P139" s="109"/>
      <c r="Q139" s="109"/>
      <c r="R139" s="109"/>
      <c r="S139" s="109"/>
      <c r="T139" s="109"/>
      <c r="U139" s="109">
        <v>0</v>
      </c>
      <c r="V139" s="6"/>
    </row>
    <row r="140" spans="2:22" x14ac:dyDescent="0.25">
      <c r="B140" s="43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3">
        <v>5</v>
      </c>
      <c r="O140" s="109"/>
      <c r="P140" s="109"/>
      <c r="Q140" s="109"/>
      <c r="R140" s="109"/>
      <c r="S140" s="109"/>
      <c r="T140" s="109"/>
      <c r="U140" s="109">
        <v>0</v>
      </c>
      <c r="V140" s="6"/>
    </row>
    <row r="141" spans="2:22" x14ac:dyDescent="0.25">
      <c r="B141" s="43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3">
        <v>5</v>
      </c>
      <c r="O141" s="109"/>
      <c r="P141" s="109"/>
      <c r="Q141" s="109"/>
      <c r="R141" s="109"/>
      <c r="S141" s="109"/>
      <c r="T141" s="109"/>
      <c r="U141" s="109">
        <v>0</v>
      </c>
      <c r="V141" s="6"/>
    </row>
    <row r="142" spans="2:22" x14ac:dyDescent="0.25">
      <c r="B142" s="43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3">
        <v>5</v>
      </c>
      <c r="O142" s="109"/>
      <c r="P142" s="109"/>
      <c r="Q142" s="109"/>
      <c r="R142" s="109"/>
      <c r="S142" s="109"/>
      <c r="T142" s="109"/>
      <c r="U142" s="109">
        <v>0</v>
      </c>
      <c r="V142" s="6"/>
    </row>
    <row r="143" spans="2:22" x14ac:dyDescent="0.25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3">
        <v>5</v>
      </c>
      <c r="O143" s="109"/>
      <c r="P143" s="109"/>
      <c r="Q143" s="109"/>
      <c r="R143" s="109"/>
      <c r="S143" s="109"/>
      <c r="T143" s="109"/>
      <c r="U143" s="109">
        <v>0</v>
      </c>
      <c r="V143" s="6"/>
    </row>
    <row r="144" spans="2:22" x14ac:dyDescent="0.25">
      <c r="B144" s="5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3">
        <v>5</v>
      </c>
      <c r="O144" s="109"/>
      <c r="P144" s="109"/>
      <c r="Q144" s="109"/>
      <c r="R144" s="109"/>
      <c r="S144" s="109"/>
      <c r="T144" s="109"/>
      <c r="U144" s="109">
        <v>0</v>
      </c>
      <c r="V144" s="6"/>
    </row>
    <row r="145" spans="2:22" x14ac:dyDescent="0.25">
      <c r="B145" s="5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3">
        <v>5</v>
      </c>
      <c r="O145" s="109"/>
      <c r="P145" s="109"/>
      <c r="Q145" s="109"/>
      <c r="R145" s="109"/>
      <c r="S145" s="109"/>
      <c r="T145" s="109"/>
      <c r="U145" s="109">
        <v>0</v>
      </c>
      <c r="V145" s="6"/>
    </row>
    <row r="146" spans="2:22" x14ac:dyDescent="0.25">
      <c r="B146" s="5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3">
        <v>5</v>
      </c>
      <c r="O146" s="109"/>
      <c r="P146" s="109"/>
      <c r="Q146" s="109"/>
      <c r="R146" s="109"/>
      <c r="S146" s="109"/>
      <c r="T146" s="109"/>
      <c r="U146" s="109">
        <v>0</v>
      </c>
      <c r="V146" s="6"/>
    </row>
    <row r="147" spans="2:22" x14ac:dyDescent="0.25">
      <c r="B147" s="5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3">
        <v>5</v>
      </c>
      <c r="O147" s="109"/>
      <c r="P147" s="109"/>
      <c r="Q147" s="109"/>
      <c r="R147" s="109"/>
      <c r="S147" s="109"/>
      <c r="T147" s="109"/>
      <c r="U147" s="109">
        <v>0</v>
      </c>
      <c r="V147" s="6"/>
    </row>
    <row r="148" spans="2:22" x14ac:dyDescent="0.25">
      <c r="B148" s="5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3">
        <v>5</v>
      </c>
      <c r="O148" s="109"/>
      <c r="P148" s="109"/>
      <c r="Q148" s="109"/>
      <c r="R148" s="109"/>
      <c r="S148" s="109"/>
      <c r="T148" s="109"/>
      <c r="U148" s="109">
        <v>0</v>
      </c>
      <c r="V148" s="6"/>
    </row>
    <row r="149" spans="2:22" x14ac:dyDescent="0.25">
      <c r="B149" s="5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3">
        <v>5</v>
      </c>
      <c r="O149" s="109"/>
      <c r="P149" s="109"/>
      <c r="Q149" s="109"/>
      <c r="R149" s="109"/>
      <c r="S149" s="109"/>
      <c r="T149" s="109"/>
      <c r="U149" s="109"/>
      <c r="V149" s="6">
        <v>0</v>
      </c>
    </row>
    <row r="150" spans="2:22" x14ac:dyDescent="0.25">
      <c r="B150" s="5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3">
        <v>5</v>
      </c>
      <c r="O150" s="109"/>
      <c r="P150" s="109"/>
      <c r="Q150" s="109"/>
      <c r="R150" s="109"/>
      <c r="S150" s="109"/>
      <c r="T150" s="109"/>
      <c r="U150" s="109"/>
      <c r="V150" s="6">
        <v>0</v>
      </c>
    </row>
    <row r="151" spans="2:22" x14ac:dyDescent="0.25">
      <c r="B151" s="5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3">
        <v>5</v>
      </c>
      <c r="O151" s="109"/>
      <c r="P151" s="109"/>
      <c r="Q151" s="109"/>
      <c r="R151" s="109"/>
      <c r="S151" s="109"/>
      <c r="T151" s="109"/>
      <c r="U151" s="109"/>
      <c r="V151" s="6">
        <v>0</v>
      </c>
    </row>
    <row r="152" spans="2:22" x14ac:dyDescent="0.25">
      <c r="B152" s="5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3">
        <v>5</v>
      </c>
      <c r="O152" s="109"/>
      <c r="P152" s="109"/>
      <c r="Q152" s="109"/>
      <c r="R152" s="109"/>
      <c r="S152" s="109"/>
      <c r="T152" s="109"/>
      <c r="U152" s="109"/>
      <c r="V152" s="6">
        <v>0</v>
      </c>
    </row>
    <row r="153" spans="2:22" x14ac:dyDescent="0.25">
      <c r="B153" s="5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3">
        <v>5</v>
      </c>
      <c r="O153" s="109"/>
      <c r="P153" s="109"/>
      <c r="Q153" s="109"/>
      <c r="R153" s="109"/>
      <c r="S153" s="109"/>
      <c r="T153" s="109"/>
      <c r="U153" s="109"/>
      <c r="V153" s="6">
        <v>0</v>
      </c>
    </row>
    <row r="154" spans="2:22" x14ac:dyDescent="0.25">
      <c r="B154" s="5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3">
        <v>5</v>
      </c>
      <c r="O154" s="109"/>
      <c r="P154" s="109"/>
      <c r="Q154" s="109"/>
      <c r="R154" s="109"/>
      <c r="S154" s="109"/>
      <c r="T154" s="109"/>
      <c r="U154" s="109"/>
      <c r="V154" s="6">
        <v>0</v>
      </c>
    </row>
    <row r="155" spans="2:22" x14ac:dyDescent="0.25">
      <c r="B155" s="5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3">
        <v>5</v>
      </c>
      <c r="O155" s="109"/>
      <c r="P155" s="109"/>
      <c r="Q155" s="109"/>
      <c r="R155" s="109"/>
      <c r="S155" s="109"/>
      <c r="T155" s="109"/>
      <c r="U155" s="109"/>
      <c r="V155" s="6">
        <v>0</v>
      </c>
    </row>
    <row r="156" spans="2:22" x14ac:dyDescent="0.25">
      <c r="B156" s="5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3">
        <v>5</v>
      </c>
      <c r="O156" s="109"/>
      <c r="P156" s="109"/>
      <c r="Q156" s="109"/>
      <c r="R156" s="109"/>
      <c r="S156" s="109"/>
      <c r="T156" s="109"/>
      <c r="U156" s="109"/>
      <c r="V156" s="6">
        <v>0</v>
      </c>
    </row>
    <row r="157" spans="2:22" x14ac:dyDescent="0.25">
      <c r="B157" s="5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3">
        <v>5</v>
      </c>
      <c r="O157" s="109"/>
      <c r="P157" s="109"/>
      <c r="Q157" s="109"/>
      <c r="R157" s="109"/>
      <c r="S157" s="109"/>
      <c r="T157" s="109"/>
      <c r="U157" s="109"/>
      <c r="V157" s="6">
        <v>0</v>
      </c>
    </row>
    <row r="158" spans="2:22" x14ac:dyDescent="0.25">
      <c r="B158" s="5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3">
        <v>5</v>
      </c>
      <c r="O158" s="109"/>
      <c r="P158" s="109"/>
      <c r="Q158" s="109"/>
      <c r="R158" s="109"/>
      <c r="S158" s="109"/>
      <c r="T158" s="109"/>
      <c r="U158" s="109"/>
      <c r="V158" s="6">
        <v>0</v>
      </c>
    </row>
    <row r="159" spans="2:22" x14ac:dyDescent="0.25">
      <c r="B159" s="5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3">
        <v>5</v>
      </c>
      <c r="O159" s="109"/>
      <c r="P159" s="109"/>
      <c r="Q159" s="109"/>
      <c r="R159" s="109"/>
      <c r="S159" s="109"/>
      <c r="T159" s="109"/>
      <c r="U159" s="109"/>
      <c r="V159" s="6">
        <v>0</v>
      </c>
    </row>
    <row r="160" spans="2:22" x14ac:dyDescent="0.25">
      <c r="B160" s="5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3">
        <v>5</v>
      </c>
      <c r="O160" s="109"/>
      <c r="P160" s="109"/>
      <c r="Q160" s="109"/>
      <c r="R160" s="109"/>
      <c r="S160" s="109"/>
      <c r="T160" s="109"/>
      <c r="U160" s="109"/>
      <c r="V160" s="6">
        <v>0</v>
      </c>
    </row>
    <row r="161" spans="2:22" x14ac:dyDescent="0.25">
      <c r="B161" s="5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3">
        <v>5</v>
      </c>
      <c r="O161" s="109"/>
      <c r="P161" s="109"/>
      <c r="Q161" s="109"/>
      <c r="R161" s="109"/>
      <c r="S161" s="109"/>
      <c r="T161" s="109"/>
      <c r="U161" s="109"/>
      <c r="V161" s="6">
        <v>0</v>
      </c>
    </row>
    <row r="162" spans="2:22" x14ac:dyDescent="0.25">
      <c r="B162" s="5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3">
        <v>5</v>
      </c>
      <c r="O162" s="109"/>
      <c r="P162" s="109"/>
      <c r="Q162" s="109"/>
      <c r="R162" s="109"/>
      <c r="S162" s="109"/>
      <c r="T162" s="109"/>
      <c r="U162" s="109"/>
      <c r="V162" s="6">
        <v>0</v>
      </c>
    </row>
    <row r="163" spans="2:22" x14ac:dyDescent="0.25">
      <c r="B163" s="5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3">
        <v>5</v>
      </c>
      <c r="O163" s="109"/>
      <c r="P163" s="109"/>
      <c r="Q163" s="109"/>
      <c r="R163" s="109"/>
      <c r="S163" s="109"/>
      <c r="T163" s="109"/>
      <c r="U163" s="109"/>
      <c r="V163" s="6">
        <v>0</v>
      </c>
    </row>
    <row r="164" spans="2:22" x14ac:dyDescent="0.25">
      <c r="B164" s="5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3">
        <v>5</v>
      </c>
      <c r="O164" s="109"/>
      <c r="P164" s="109"/>
      <c r="Q164" s="109"/>
      <c r="R164" s="109"/>
      <c r="S164" s="109"/>
      <c r="T164" s="109"/>
      <c r="U164" s="109"/>
      <c r="V164" s="6">
        <v>0</v>
      </c>
    </row>
    <row r="165" spans="2:22" x14ac:dyDescent="0.25">
      <c r="B165" s="5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3">
        <v>5</v>
      </c>
      <c r="O165" s="109"/>
      <c r="P165" s="109"/>
      <c r="Q165" s="109"/>
      <c r="R165" s="109"/>
      <c r="S165" s="109"/>
      <c r="T165" s="109"/>
      <c r="U165" s="109"/>
      <c r="V165" s="6">
        <v>0</v>
      </c>
    </row>
    <row r="166" spans="2:22" x14ac:dyDescent="0.25">
      <c r="B166" s="5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3">
        <v>5</v>
      </c>
      <c r="O166" s="109"/>
      <c r="P166" s="109"/>
      <c r="Q166" s="109"/>
      <c r="R166" s="109"/>
      <c r="S166" s="109"/>
      <c r="T166" s="109"/>
      <c r="U166" s="109"/>
      <c r="V166" s="6">
        <v>0</v>
      </c>
    </row>
    <row r="167" spans="2:22" x14ac:dyDescent="0.25">
      <c r="B167" s="5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3">
        <v>5</v>
      </c>
      <c r="O167" s="109"/>
      <c r="P167" s="109"/>
      <c r="Q167" s="109"/>
      <c r="R167" s="109"/>
      <c r="S167" s="109"/>
      <c r="T167" s="109"/>
      <c r="U167" s="109"/>
      <c r="V167" s="6">
        <v>0</v>
      </c>
    </row>
    <row r="168" spans="2:22" x14ac:dyDescent="0.25">
      <c r="B168" s="5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3">
        <v>5</v>
      </c>
      <c r="O168" s="109"/>
      <c r="P168" s="109"/>
      <c r="Q168" s="109"/>
      <c r="R168" s="109"/>
      <c r="S168" s="109"/>
      <c r="T168" s="109"/>
      <c r="U168" s="109"/>
      <c r="V168" s="6">
        <v>0</v>
      </c>
    </row>
    <row r="169" spans="2:22" x14ac:dyDescent="0.25">
      <c r="B169" s="5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7">
        <v>5</v>
      </c>
      <c r="O169" s="18"/>
      <c r="P169" s="18"/>
      <c r="Q169" s="18"/>
      <c r="R169" s="18"/>
      <c r="S169" s="18"/>
      <c r="T169" s="18"/>
      <c r="U169" s="18"/>
      <c r="V169" s="19">
        <v>0</v>
      </c>
    </row>
    <row r="170" spans="2:22" x14ac:dyDescent="0.25">
      <c r="B170" s="5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</row>
    <row r="171" spans="2:22" x14ac:dyDescent="0.25">
      <c r="B171" s="5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</row>
    <row r="172" spans="2:22" x14ac:dyDescent="0.25">
      <c r="B172" s="5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</row>
  </sheetData>
  <mergeCells count="5">
    <mergeCell ref="B83:B102"/>
    <mergeCell ref="B3:B22"/>
    <mergeCell ref="B23:B42"/>
    <mergeCell ref="B43:B62"/>
    <mergeCell ref="B63:B8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B1D3-DA90-4D88-88F4-D2B404F3F99B}">
  <dimension ref="A1:AL69"/>
  <sheetViews>
    <sheetView zoomScale="79" zoomScaleNormal="52" workbookViewId="0">
      <selection activeCell="M14" sqref="M14"/>
    </sheetView>
  </sheetViews>
  <sheetFormatPr defaultRowHeight="15" x14ac:dyDescent="0.25"/>
  <sheetData>
    <row r="1" spans="2:38" x14ac:dyDescent="0.25">
      <c r="B1" s="176" t="s">
        <v>276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</row>
    <row r="2" spans="2:38" x14ac:dyDescent="0.25">
      <c r="B2" s="254" t="s">
        <v>275</v>
      </c>
      <c r="C2" s="255"/>
      <c r="D2" s="255"/>
      <c r="E2" s="255"/>
      <c r="F2" s="255"/>
      <c r="G2" s="255"/>
      <c r="H2" s="255"/>
      <c r="I2" s="256"/>
      <c r="J2" s="96"/>
      <c r="K2" s="96"/>
      <c r="L2" s="96"/>
      <c r="M2" s="53"/>
      <c r="N2" s="275"/>
      <c r="O2" s="275"/>
      <c r="P2" s="275"/>
      <c r="Q2" s="275"/>
      <c r="R2" s="275"/>
      <c r="S2" s="275"/>
      <c r="T2" s="275"/>
      <c r="U2" s="275"/>
      <c r="V2" s="96"/>
      <c r="W2" s="96"/>
      <c r="X2" s="115"/>
      <c r="Y2" s="115"/>
      <c r="Z2" s="115"/>
      <c r="AA2" s="115"/>
      <c r="AB2" s="115"/>
      <c r="AC2" s="115"/>
      <c r="AD2" s="115"/>
      <c r="AE2" s="115"/>
      <c r="AF2" s="96"/>
      <c r="AG2" s="96"/>
      <c r="AH2" s="96"/>
      <c r="AI2" s="96"/>
      <c r="AJ2" s="96"/>
      <c r="AK2" s="96"/>
      <c r="AL2" s="96"/>
    </row>
    <row r="3" spans="2:38" x14ac:dyDescent="0.25">
      <c r="B3" s="3" t="s">
        <v>3</v>
      </c>
      <c r="C3" s="91" t="s">
        <v>41</v>
      </c>
      <c r="D3" s="91" t="s">
        <v>43</v>
      </c>
      <c r="E3" s="91" t="s">
        <v>44</v>
      </c>
      <c r="F3" s="91" t="s">
        <v>45</v>
      </c>
      <c r="G3" s="91" t="s">
        <v>46</v>
      </c>
      <c r="H3" s="91" t="s">
        <v>47</v>
      </c>
      <c r="I3" s="6" t="s">
        <v>48</v>
      </c>
      <c r="J3" s="96"/>
      <c r="K3" s="96"/>
      <c r="L3" s="96"/>
      <c r="M3" s="53"/>
      <c r="N3" s="96"/>
      <c r="O3" s="165"/>
      <c r="P3" s="165"/>
      <c r="Q3" s="96"/>
      <c r="R3" s="96"/>
      <c r="S3" s="96"/>
      <c r="T3" s="165"/>
      <c r="U3" s="165"/>
      <c r="V3" s="96"/>
      <c r="W3" s="96"/>
      <c r="X3" s="115"/>
      <c r="Y3" s="115"/>
      <c r="Z3" s="115"/>
      <c r="AA3" s="115"/>
      <c r="AB3" s="115"/>
      <c r="AC3" s="115"/>
      <c r="AD3" s="115"/>
      <c r="AE3" s="115"/>
      <c r="AF3" s="96"/>
      <c r="AG3" s="96"/>
      <c r="AH3" s="96"/>
      <c r="AI3" s="96"/>
      <c r="AJ3" s="96"/>
      <c r="AK3" s="96"/>
      <c r="AL3" s="96"/>
    </row>
    <row r="4" spans="2:38" x14ac:dyDescent="0.25">
      <c r="B4" s="199">
        <f>133/4*1000000</f>
        <v>33250000</v>
      </c>
      <c r="C4" s="165">
        <f>106/4*1000000</f>
        <v>26500000</v>
      </c>
      <c r="D4" s="165">
        <f>51/4*1000000</f>
        <v>12750000</v>
      </c>
      <c r="E4" s="165">
        <f>69/4*1000000</f>
        <v>17250000</v>
      </c>
      <c r="F4" s="165">
        <f>11/4*1000000</f>
        <v>2750000</v>
      </c>
      <c r="G4" s="165">
        <f>36/4*1000000</f>
        <v>9000000</v>
      </c>
      <c r="H4" s="165">
        <f>80/4*1000000</f>
        <v>20000000</v>
      </c>
      <c r="I4" s="147">
        <f>52/4*1000000</f>
        <v>13000000</v>
      </c>
      <c r="J4" s="219"/>
      <c r="K4" s="130" t="s">
        <v>278</v>
      </c>
      <c r="L4" s="130"/>
      <c r="N4" s="96"/>
      <c r="O4" s="134"/>
      <c r="P4" s="134"/>
      <c r="Q4" s="96"/>
      <c r="R4" s="96"/>
      <c r="S4" s="96"/>
      <c r="T4" s="134"/>
      <c r="U4" s="134"/>
      <c r="V4" s="96"/>
      <c r="W4" s="96"/>
      <c r="X4" s="114"/>
      <c r="Y4" s="114"/>
      <c r="Z4" s="114"/>
      <c r="AA4" s="114"/>
      <c r="AB4" s="114"/>
      <c r="AC4" s="114"/>
      <c r="AD4" s="114"/>
      <c r="AE4" s="114"/>
      <c r="AF4" s="96"/>
      <c r="AG4" s="96"/>
      <c r="AH4" s="96"/>
      <c r="AI4" s="96"/>
      <c r="AJ4" s="96"/>
      <c r="AK4" s="96"/>
      <c r="AL4" s="96"/>
    </row>
    <row r="5" spans="2:38" x14ac:dyDescent="0.25">
      <c r="B5" s="199">
        <f>47/4*1000000</f>
        <v>11750000</v>
      </c>
      <c r="C5" s="165">
        <f>124/4*1000000</f>
        <v>31000000</v>
      </c>
      <c r="D5" s="165">
        <f>140/4*1000000</f>
        <v>35000000</v>
      </c>
      <c r="E5" s="165">
        <f>72/4*1000000</f>
        <v>18000000</v>
      </c>
      <c r="F5" s="165">
        <f>93/4*1000000</f>
        <v>23250000</v>
      </c>
      <c r="G5" s="165">
        <f>4/4*1000000</f>
        <v>1000000</v>
      </c>
      <c r="H5" s="165">
        <f>49/4*1000000</f>
        <v>12250000</v>
      </c>
      <c r="I5" s="147">
        <f>71/4*1000000</f>
        <v>17750000</v>
      </c>
      <c r="J5" s="96"/>
      <c r="K5" s="130"/>
      <c r="L5" s="130"/>
      <c r="N5" s="96"/>
      <c r="O5" s="134"/>
      <c r="P5" s="134"/>
      <c r="Q5" s="96"/>
      <c r="R5" s="96"/>
      <c r="S5" s="96"/>
      <c r="T5" s="134"/>
      <c r="U5" s="134"/>
      <c r="V5" s="96"/>
      <c r="W5" s="96"/>
      <c r="X5" s="114"/>
      <c r="Y5" s="114"/>
      <c r="Z5" s="114"/>
      <c r="AA5" s="114"/>
      <c r="AB5" s="114"/>
      <c r="AC5" s="114"/>
      <c r="AD5" s="114"/>
      <c r="AE5" s="114"/>
      <c r="AF5" s="96"/>
      <c r="AG5" s="96"/>
      <c r="AH5" s="96"/>
      <c r="AI5" s="96"/>
      <c r="AJ5" s="96"/>
      <c r="AK5" s="96"/>
      <c r="AL5" s="96"/>
    </row>
    <row r="6" spans="2:38" x14ac:dyDescent="0.25">
      <c r="B6" s="199">
        <f>55/4*1000000</f>
        <v>13750000</v>
      </c>
      <c r="C6" s="165">
        <f>108/4*1000000</f>
        <v>27000000</v>
      </c>
      <c r="D6" s="165">
        <f>102/4*1000000</f>
        <v>25500000</v>
      </c>
      <c r="E6" s="165">
        <f>20/4*1000000</f>
        <v>5000000</v>
      </c>
      <c r="F6" s="165">
        <f>88/4*1000000</f>
        <v>22000000</v>
      </c>
      <c r="G6" s="165">
        <f>12/4*1000000</f>
        <v>3000000</v>
      </c>
      <c r="H6" s="165">
        <f>75/4*1000000</f>
        <v>18750000</v>
      </c>
      <c r="I6" s="147">
        <f>61/4*1000000</f>
        <v>15250000</v>
      </c>
      <c r="J6" s="96"/>
      <c r="K6" s="96"/>
      <c r="L6" s="96"/>
      <c r="N6" s="96"/>
      <c r="O6" s="134"/>
      <c r="P6" s="134"/>
      <c r="Q6" s="96"/>
      <c r="R6" s="96"/>
      <c r="S6" s="96"/>
      <c r="T6" s="134"/>
      <c r="U6" s="134"/>
      <c r="V6" s="218"/>
      <c r="W6" s="96"/>
      <c r="X6" s="114"/>
      <c r="Y6" s="114"/>
      <c r="Z6" s="114"/>
      <c r="AA6" s="114"/>
      <c r="AB6" s="114"/>
      <c r="AC6" s="114"/>
      <c r="AD6" s="114"/>
      <c r="AE6" s="114"/>
      <c r="AF6" s="96"/>
      <c r="AG6" s="96"/>
      <c r="AH6" s="96"/>
      <c r="AI6" s="96"/>
      <c r="AJ6" s="96"/>
      <c r="AK6" s="96"/>
      <c r="AL6" s="96"/>
    </row>
    <row r="7" spans="2:38" x14ac:dyDescent="0.25">
      <c r="B7" s="199">
        <f>152/4*1000000</f>
        <v>38000000</v>
      </c>
      <c r="C7" s="165">
        <f>77/4*1000000</f>
        <v>19250000</v>
      </c>
      <c r="D7" s="165">
        <f>81/4*1000000</f>
        <v>20250000</v>
      </c>
      <c r="E7" s="165">
        <f>51/4*1000000</f>
        <v>12750000</v>
      </c>
      <c r="F7" s="165">
        <f>63/4*1000000</f>
        <v>15750000</v>
      </c>
      <c r="G7" s="165">
        <f>50/4*1000000</f>
        <v>12500000</v>
      </c>
      <c r="H7" s="165">
        <f>86/4*1000000</f>
        <v>21500000</v>
      </c>
      <c r="I7" s="147">
        <f>52/4*1000000</f>
        <v>13000000</v>
      </c>
      <c r="J7" s="96"/>
      <c r="K7" s="96"/>
      <c r="L7" s="96"/>
      <c r="N7" s="96"/>
      <c r="O7" s="134"/>
      <c r="P7" s="134"/>
      <c r="Q7" s="96"/>
      <c r="R7" s="96"/>
      <c r="S7" s="96"/>
      <c r="T7" s="134"/>
      <c r="U7" s="134"/>
      <c r="V7" s="96"/>
      <c r="W7" s="96"/>
      <c r="X7" s="114"/>
      <c r="Y7" s="114"/>
      <c r="Z7" s="114"/>
      <c r="AA7" s="114"/>
      <c r="AB7" s="114"/>
      <c r="AC7" s="114"/>
      <c r="AD7" s="114"/>
      <c r="AE7" s="114"/>
      <c r="AF7" s="96"/>
      <c r="AG7" s="96"/>
      <c r="AH7" s="96"/>
      <c r="AI7" s="96"/>
      <c r="AJ7" s="96"/>
      <c r="AK7" s="96"/>
      <c r="AL7" s="96"/>
    </row>
    <row r="8" spans="2:38" x14ac:dyDescent="0.25">
      <c r="B8" s="199">
        <f>38/4*1000000</f>
        <v>9500000</v>
      </c>
      <c r="C8" s="165">
        <f>44/4*1000000</f>
        <v>11000000</v>
      </c>
      <c r="D8" s="165">
        <f>66/4*1000000</f>
        <v>16500000</v>
      </c>
      <c r="E8" s="165">
        <f>13/4*1000000</f>
        <v>3250000</v>
      </c>
      <c r="F8" s="165">
        <f>78/4*1000000</f>
        <v>19500000</v>
      </c>
      <c r="G8" s="165">
        <f>10/4*1000000</f>
        <v>2500000</v>
      </c>
      <c r="H8" s="165">
        <f>72/4*1000000</f>
        <v>18000000</v>
      </c>
      <c r="I8" s="147">
        <f>67/4*1000000</f>
        <v>16750000</v>
      </c>
      <c r="J8" s="96"/>
      <c r="K8" s="96"/>
      <c r="L8" s="96"/>
      <c r="N8" s="96"/>
      <c r="O8" s="134"/>
      <c r="P8" s="134"/>
      <c r="Q8" s="96"/>
      <c r="R8" s="96"/>
      <c r="S8" s="96"/>
      <c r="T8" s="134"/>
      <c r="U8" s="134"/>
      <c r="V8" s="96"/>
      <c r="W8" s="96"/>
      <c r="X8" s="114"/>
      <c r="Y8" s="114"/>
      <c r="Z8" s="114"/>
      <c r="AA8" s="114"/>
      <c r="AB8" s="114"/>
      <c r="AC8" s="114"/>
      <c r="AD8" s="114"/>
      <c r="AE8" s="114"/>
      <c r="AF8" s="96"/>
      <c r="AG8" s="96"/>
      <c r="AH8" s="96"/>
      <c r="AI8" s="96"/>
      <c r="AJ8" s="96"/>
      <c r="AK8" s="96"/>
      <c r="AL8" s="96"/>
    </row>
    <row r="9" spans="2:38" x14ac:dyDescent="0.25">
      <c r="B9" s="199">
        <f>123/4*1000000</f>
        <v>30750000</v>
      </c>
      <c r="C9" s="165">
        <f>125/4*1000000</f>
        <v>31250000</v>
      </c>
      <c r="D9" s="165">
        <f>28/4*1000000</f>
        <v>7000000</v>
      </c>
      <c r="E9" s="165">
        <f>48/4*1000000</f>
        <v>12000000</v>
      </c>
      <c r="F9" s="165">
        <f>58/4*1000000</f>
        <v>14500000</v>
      </c>
      <c r="G9" s="165">
        <f>48/4*1000000</f>
        <v>12000000</v>
      </c>
      <c r="H9" s="165">
        <f>30/4*1000000</f>
        <v>7500000</v>
      </c>
      <c r="I9" s="147">
        <f>48/4*1000000</f>
        <v>12000000</v>
      </c>
      <c r="J9" s="96"/>
      <c r="K9" s="96"/>
      <c r="L9" s="96"/>
      <c r="N9" s="96"/>
      <c r="O9" s="134"/>
      <c r="P9" s="134"/>
      <c r="Q9" s="96"/>
      <c r="R9" s="96"/>
      <c r="S9" s="96"/>
      <c r="T9" s="134"/>
      <c r="U9" s="134"/>
      <c r="V9" s="96"/>
      <c r="W9" s="96"/>
      <c r="X9" s="114"/>
      <c r="Y9" s="114"/>
      <c r="Z9" s="114"/>
      <c r="AA9" s="114"/>
      <c r="AB9" s="114"/>
      <c r="AC9" s="114"/>
      <c r="AD9" s="114"/>
      <c r="AE9" s="114"/>
      <c r="AF9" s="96"/>
      <c r="AG9" s="96"/>
      <c r="AH9" s="96"/>
      <c r="AI9" s="96"/>
      <c r="AJ9" s="96"/>
      <c r="AK9" s="96"/>
      <c r="AL9" s="96"/>
    </row>
    <row r="10" spans="2:38" x14ac:dyDescent="0.25">
      <c r="B10" s="199">
        <f>104/4*1000000</f>
        <v>26000000</v>
      </c>
      <c r="C10" s="165">
        <f>103/4*1000000</f>
        <v>25750000</v>
      </c>
      <c r="D10" s="165">
        <f>166/4*1000000</f>
        <v>41500000</v>
      </c>
      <c r="E10" s="165">
        <f>7/4*1000000</f>
        <v>1750000</v>
      </c>
      <c r="F10" s="165">
        <f>31/4*1000000</f>
        <v>7750000</v>
      </c>
      <c r="G10" s="165">
        <v>12500000</v>
      </c>
      <c r="H10" s="165">
        <f>22/4*1000000</f>
        <v>5500000</v>
      </c>
      <c r="I10" s="147">
        <f>32/4*1000000</f>
        <v>8000000</v>
      </c>
      <c r="J10" s="96"/>
      <c r="K10" s="96"/>
      <c r="L10" s="96"/>
      <c r="N10" s="96"/>
      <c r="O10" s="134"/>
      <c r="P10" s="134"/>
      <c r="Q10" s="96"/>
      <c r="R10" s="96"/>
      <c r="S10" s="96"/>
      <c r="T10" s="134"/>
      <c r="U10" s="134"/>
      <c r="V10" s="96"/>
      <c r="W10" s="96"/>
      <c r="X10" s="114"/>
      <c r="Y10" s="114"/>
      <c r="Z10" s="114"/>
      <c r="AA10" s="114"/>
      <c r="AB10" s="114"/>
      <c r="AC10" s="114"/>
      <c r="AD10" s="114"/>
      <c r="AE10" s="114"/>
      <c r="AF10" s="96"/>
      <c r="AG10" s="96"/>
      <c r="AH10" s="96"/>
      <c r="AI10" s="96"/>
      <c r="AJ10" s="96"/>
      <c r="AK10" s="96"/>
      <c r="AL10" s="96"/>
    </row>
    <row r="11" spans="2:38" x14ac:dyDescent="0.25">
      <c r="B11" s="199">
        <f>96/4*1000000</f>
        <v>24000000</v>
      </c>
      <c r="C11" s="165">
        <f>88/4*1000000</f>
        <v>22000000</v>
      </c>
      <c r="D11" s="165">
        <f>135/4*1000000</f>
        <v>33750000</v>
      </c>
      <c r="E11" s="165">
        <f>61/4*1000000</f>
        <v>15250000</v>
      </c>
      <c r="F11" s="165">
        <f>69/4*1000000</f>
        <v>17250000</v>
      </c>
      <c r="G11" s="165">
        <f>35/4*1000000</f>
        <v>8750000</v>
      </c>
      <c r="H11" s="165">
        <f>45/4*1000000</f>
        <v>11250000</v>
      </c>
      <c r="I11" s="147">
        <f>79/4*1000000</f>
        <v>19750000</v>
      </c>
      <c r="J11" s="96"/>
      <c r="K11" s="96"/>
      <c r="L11" s="96"/>
      <c r="N11" s="96"/>
      <c r="O11" s="134"/>
      <c r="P11" s="134"/>
      <c r="Q11" s="96"/>
      <c r="R11" s="96"/>
      <c r="S11" s="96"/>
      <c r="T11" s="134"/>
      <c r="U11" s="134"/>
      <c r="V11" s="96"/>
      <c r="W11" s="96"/>
      <c r="X11" s="114"/>
      <c r="Y11" s="114"/>
      <c r="Z11" s="114"/>
      <c r="AA11" s="114"/>
      <c r="AB11" s="114"/>
      <c r="AC11" s="114"/>
      <c r="AD11" s="114"/>
      <c r="AE11" s="114"/>
      <c r="AF11" s="96"/>
      <c r="AG11" s="96"/>
      <c r="AH11" s="96"/>
      <c r="AI11" s="96"/>
      <c r="AJ11" s="96"/>
      <c r="AK11" s="96"/>
      <c r="AL11" s="96"/>
    </row>
    <row r="12" spans="2:38" x14ac:dyDescent="0.25">
      <c r="B12" s="199">
        <f>41/4*1000000</f>
        <v>10250000</v>
      </c>
      <c r="C12" s="165">
        <f>86/4*1000000</f>
        <v>21500000</v>
      </c>
      <c r="D12" s="165">
        <f>71/4*1000000</f>
        <v>17750000</v>
      </c>
      <c r="E12" s="165">
        <f>45/4*1000000</f>
        <v>11250000</v>
      </c>
      <c r="F12" s="165">
        <f>73/4*1000000</f>
        <v>18250000</v>
      </c>
      <c r="G12" s="165">
        <f>51/4*1000000</f>
        <v>12750000</v>
      </c>
      <c r="H12" s="165">
        <f>93/4*1000000</f>
        <v>23250000</v>
      </c>
      <c r="I12" s="147">
        <f>78/4*1000000</f>
        <v>19500000</v>
      </c>
      <c r="J12" s="96"/>
      <c r="K12" s="96"/>
      <c r="L12" s="96"/>
      <c r="N12" s="96"/>
      <c r="O12" s="134"/>
      <c r="P12" s="134"/>
      <c r="Q12" s="96"/>
      <c r="R12" s="96"/>
      <c r="S12" s="96"/>
      <c r="T12" s="134"/>
      <c r="U12" s="134"/>
      <c r="V12" s="96"/>
      <c r="W12" s="96"/>
      <c r="X12" s="114"/>
      <c r="Y12" s="114"/>
      <c r="Z12" s="114"/>
      <c r="AA12" s="114"/>
      <c r="AB12" s="114"/>
      <c r="AC12" s="114"/>
      <c r="AD12" s="114"/>
      <c r="AE12" s="114"/>
      <c r="AF12" s="96"/>
      <c r="AG12" s="96"/>
      <c r="AH12" s="96"/>
      <c r="AI12" s="96"/>
      <c r="AJ12" s="96"/>
      <c r="AK12" s="96"/>
      <c r="AL12" s="96"/>
    </row>
    <row r="13" spans="2:38" x14ac:dyDescent="0.25">
      <c r="B13" s="199">
        <f>39/4*1000000</f>
        <v>9750000</v>
      </c>
      <c r="C13" s="165">
        <v>21500000</v>
      </c>
      <c r="D13" s="165">
        <f>159/4*1000000</f>
        <v>39750000</v>
      </c>
      <c r="E13" s="165">
        <f>83/4*1000000</f>
        <v>20750000</v>
      </c>
      <c r="F13" s="165">
        <f>67/4*1000000</f>
        <v>16750000</v>
      </c>
      <c r="G13" s="165">
        <f>25/4*1000000</f>
        <v>6250000</v>
      </c>
      <c r="H13" s="165">
        <f>62/4*1000000</f>
        <v>15500000</v>
      </c>
      <c r="I13" s="147">
        <f>70/4*1000000</f>
        <v>17500000</v>
      </c>
      <c r="J13" s="96"/>
      <c r="K13" s="96"/>
      <c r="L13" s="96"/>
      <c r="N13" s="96"/>
      <c r="O13" s="134"/>
      <c r="P13" s="134"/>
      <c r="Q13" s="96"/>
      <c r="R13" s="96"/>
      <c r="S13" s="96"/>
      <c r="T13" s="134"/>
      <c r="U13" s="134"/>
      <c r="V13" s="96"/>
      <c r="W13" s="96"/>
      <c r="X13" s="114"/>
      <c r="Y13" s="114"/>
      <c r="Z13" s="114"/>
      <c r="AA13" s="114"/>
      <c r="AB13" s="114"/>
      <c r="AC13" s="114"/>
      <c r="AD13" s="114"/>
      <c r="AE13" s="114"/>
      <c r="AF13" s="96"/>
      <c r="AG13" s="96"/>
      <c r="AH13" s="96"/>
      <c r="AI13" s="96"/>
      <c r="AJ13" s="96"/>
      <c r="AK13" s="96"/>
      <c r="AL13" s="96"/>
    </row>
    <row r="14" spans="2:38" x14ac:dyDescent="0.25">
      <c r="B14" s="199">
        <f>84/4*1000000</f>
        <v>21000000</v>
      </c>
      <c r="C14" s="165">
        <f>67/4*1000000</f>
        <v>16750000</v>
      </c>
      <c r="D14" s="165">
        <f>176/4*1000000</f>
        <v>44000000</v>
      </c>
      <c r="E14" s="165">
        <f>42/4*1000000</f>
        <v>10500000</v>
      </c>
      <c r="F14" s="165">
        <f>47/4*1000000</f>
        <v>11750000</v>
      </c>
      <c r="G14" s="165">
        <f>26/4*1000000</f>
        <v>6500000</v>
      </c>
      <c r="H14" s="165">
        <f>72/4*1000000</f>
        <v>18000000</v>
      </c>
      <c r="I14" s="147">
        <f>70/4*1000000</f>
        <v>17500000</v>
      </c>
      <c r="J14" s="96"/>
      <c r="K14" s="96"/>
      <c r="L14" s="96"/>
      <c r="N14" s="96"/>
      <c r="O14" s="134"/>
      <c r="P14" s="134"/>
      <c r="Q14" s="96"/>
      <c r="R14" s="96"/>
      <c r="S14" s="96"/>
      <c r="T14" s="134"/>
      <c r="U14" s="134"/>
      <c r="V14" s="96"/>
      <c r="W14" s="96"/>
      <c r="X14" s="114"/>
      <c r="Y14" s="114"/>
      <c r="Z14" s="114"/>
      <c r="AA14" s="114"/>
      <c r="AB14" s="114"/>
      <c r="AC14" s="114"/>
      <c r="AD14" s="114"/>
      <c r="AE14" s="114"/>
      <c r="AF14" s="96"/>
      <c r="AG14" s="96"/>
      <c r="AH14" s="96"/>
      <c r="AI14" s="96"/>
      <c r="AJ14" s="96"/>
      <c r="AK14" s="96"/>
      <c r="AL14" s="96"/>
    </row>
    <row r="15" spans="2:38" x14ac:dyDescent="0.25">
      <c r="B15" s="199">
        <f>66/4*1000000</f>
        <v>16500000</v>
      </c>
      <c r="C15" s="165">
        <f>79/4*1000000</f>
        <v>19750000</v>
      </c>
      <c r="D15" s="165">
        <f>112/4*1000000</f>
        <v>28000000</v>
      </c>
      <c r="E15" s="165">
        <f>64/4*1000000</f>
        <v>16000000</v>
      </c>
      <c r="F15" s="165">
        <f>28/4*1000000</f>
        <v>7000000</v>
      </c>
      <c r="G15" s="165">
        <f>30/4*1000000</f>
        <v>7500000</v>
      </c>
      <c r="H15" s="165">
        <f>34/4*1000000</f>
        <v>8500000</v>
      </c>
      <c r="I15" s="147">
        <f>100/4*1000000</f>
        <v>25000000</v>
      </c>
      <c r="J15" s="96"/>
      <c r="K15" s="96"/>
      <c r="L15" s="96"/>
      <c r="N15" s="96"/>
      <c r="O15" s="134"/>
      <c r="P15" s="134"/>
      <c r="Q15" s="96"/>
      <c r="R15" s="96"/>
      <c r="S15" s="96"/>
      <c r="T15" s="134"/>
      <c r="U15" s="134"/>
      <c r="V15" s="96"/>
      <c r="W15" s="96"/>
      <c r="X15" s="114"/>
      <c r="Y15" s="114"/>
      <c r="Z15" s="114"/>
      <c r="AA15" s="114"/>
      <c r="AB15" s="114"/>
      <c r="AC15" s="114"/>
      <c r="AD15" s="114"/>
      <c r="AE15" s="114"/>
      <c r="AF15" s="96"/>
      <c r="AG15" s="96"/>
      <c r="AH15" s="96"/>
      <c r="AI15" s="96"/>
      <c r="AJ15" s="96"/>
      <c r="AK15" s="96"/>
      <c r="AL15" s="96"/>
    </row>
    <row r="16" spans="2:38" x14ac:dyDescent="0.25">
      <c r="B16" s="199">
        <f>55/4*1000000</f>
        <v>13750000</v>
      </c>
      <c r="C16" s="165">
        <f>111/4*1000000</f>
        <v>27750000</v>
      </c>
      <c r="D16" s="165">
        <f>38/4*1000000</f>
        <v>9500000</v>
      </c>
      <c r="E16" s="83">
        <f>88/4*1000000</f>
        <v>22000000</v>
      </c>
      <c r="F16" s="83">
        <f>40/4*1000000</f>
        <v>10000000</v>
      </c>
      <c r="G16" s="165">
        <f>53/4*1000000</f>
        <v>13250000</v>
      </c>
      <c r="H16" s="165">
        <f>50/4*1000000</f>
        <v>12500000</v>
      </c>
      <c r="I16" s="147">
        <f>46/4*1000000</f>
        <v>11500000</v>
      </c>
      <c r="J16" s="96"/>
      <c r="K16" s="96"/>
      <c r="L16" s="96"/>
      <c r="N16" s="96"/>
      <c r="O16" s="134"/>
      <c r="P16" s="134"/>
      <c r="Q16" s="96"/>
      <c r="R16" s="96"/>
      <c r="S16" s="96"/>
      <c r="T16" s="134"/>
      <c r="U16" s="134"/>
      <c r="V16" s="96"/>
      <c r="W16" s="96"/>
      <c r="X16" s="114"/>
      <c r="Y16" s="114"/>
      <c r="Z16" s="114"/>
      <c r="AA16" s="114"/>
      <c r="AB16" s="114"/>
      <c r="AC16" s="114"/>
      <c r="AD16" s="114"/>
      <c r="AE16" s="114"/>
      <c r="AF16" s="96"/>
      <c r="AG16" s="96"/>
      <c r="AH16" s="96"/>
      <c r="AI16" s="96"/>
      <c r="AJ16" s="96"/>
      <c r="AK16" s="96"/>
      <c r="AL16" s="96"/>
    </row>
    <row r="17" spans="1:38" x14ac:dyDescent="0.25">
      <c r="B17" s="199">
        <f>59/4*1000000</f>
        <v>14750000</v>
      </c>
      <c r="C17" s="165">
        <f>119/4*1000000</f>
        <v>29750000</v>
      </c>
      <c r="D17" s="165">
        <f>101/4*1000000</f>
        <v>25250000</v>
      </c>
      <c r="E17" s="83">
        <f>98/4*1000000</f>
        <v>24500000</v>
      </c>
      <c r="F17" s="83">
        <f>25/4*1000000</f>
        <v>6250000</v>
      </c>
      <c r="G17" s="83">
        <f>29/4*1000000</f>
        <v>7250000</v>
      </c>
      <c r="H17" s="165">
        <f>32/4*1000000</f>
        <v>8000000</v>
      </c>
      <c r="I17" s="147">
        <f>57/4*1000000</f>
        <v>14250000</v>
      </c>
      <c r="J17" s="96"/>
      <c r="K17" s="96"/>
      <c r="L17" s="96"/>
      <c r="N17" s="96"/>
      <c r="O17" s="134"/>
      <c r="P17" s="134"/>
      <c r="Q17" s="96"/>
      <c r="R17" s="96"/>
      <c r="S17" s="96"/>
      <c r="T17" s="134"/>
      <c r="U17" s="134"/>
      <c r="V17" s="96"/>
      <c r="W17" s="96"/>
      <c r="X17" s="114"/>
      <c r="Y17" s="114"/>
      <c r="Z17" s="114"/>
      <c r="AA17" s="114"/>
      <c r="AB17" s="114"/>
      <c r="AC17" s="114"/>
      <c r="AD17" s="114"/>
      <c r="AE17" s="114"/>
      <c r="AF17" s="96"/>
      <c r="AG17" s="96"/>
      <c r="AH17" s="96"/>
      <c r="AI17" s="96"/>
      <c r="AJ17" s="96"/>
      <c r="AK17" s="96"/>
      <c r="AL17" s="96"/>
    </row>
    <row r="18" spans="1:38" x14ac:dyDescent="0.25">
      <c r="B18" s="199">
        <f>56/4*1000000</f>
        <v>14000000</v>
      </c>
      <c r="C18" s="165">
        <f>49/4*1000000</f>
        <v>12250000</v>
      </c>
      <c r="D18" s="165">
        <f>65/4*1000000</f>
        <v>16250000</v>
      </c>
      <c r="E18" s="83">
        <f>75/4*1000000</f>
        <v>18750000</v>
      </c>
      <c r="F18" s="83">
        <f>34/4*1000000</f>
        <v>8500000</v>
      </c>
      <c r="G18" s="83">
        <f>10/4*1000000</f>
        <v>2500000</v>
      </c>
      <c r="H18" s="165">
        <f>63/4*1000000</f>
        <v>15750000</v>
      </c>
      <c r="I18" s="147">
        <f>51/4*1000000</f>
        <v>12750000</v>
      </c>
      <c r="J18" s="96"/>
      <c r="K18" s="96"/>
      <c r="L18" s="96"/>
      <c r="N18" s="96"/>
      <c r="O18" s="134"/>
      <c r="P18" s="134"/>
      <c r="Q18" s="96"/>
      <c r="R18" s="96"/>
      <c r="S18" s="96"/>
      <c r="T18" s="134"/>
      <c r="U18" s="134"/>
      <c r="V18" s="96"/>
      <c r="W18" s="96"/>
      <c r="X18" s="114"/>
      <c r="Y18" s="114"/>
      <c r="Z18" s="114"/>
      <c r="AA18" s="114"/>
      <c r="AB18" s="114"/>
      <c r="AC18" s="114"/>
      <c r="AD18" s="114"/>
      <c r="AE18" s="114"/>
      <c r="AF18" s="96"/>
      <c r="AG18" s="96"/>
      <c r="AH18" s="96"/>
      <c r="AI18" s="96"/>
      <c r="AJ18" s="96"/>
      <c r="AK18" s="96"/>
      <c r="AL18" s="96"/>
    </row>
    <row r="19" spans="1:38" x14ac:dyDescent="0.25">
      <c r="B19" s="199">
        <f>63/4*1000000</f>
        <v>15750000</v>
      </c>
      <c r="C19" s="165">
        <f>66/4*1000000</f>
        <v>16500000</v>
      </c>
      <c r="D19" s="165">
        <f>64/4*1000000</f>
        <v>16000000</v>
      </c>
      <c r="E19" s="83">
        <f>60/4*1000000</f>
        <v>15000000</v>
      </c>
      <c r="F19" s="83">
        <f>41/4*1000000</f>
        <v>10250000</v>
      </c>
      <c r="G19" s="83">
        <f>28/4*1000000</f>
        <v>7000000</v>
      </c>
      <c r="H19" s="165">
        <f>65/4*1000000</f>
        <v>16250000</v>
      </c>
      <c r="I19" s="147">
        <f>34/4*1000000</f>
        <v>8500000</v>
      </c>
      <c r="J19" s="96"/>
      <c r="K19" s="96"/>
      <c r="L19" s="96"/>
      <c r="N19" s="96"/>
      <c r="O19" s="134"/>
      <c r="P19" s="134"/>
      <c r="Q19" s="96"/>
      <c r="R19" s="96"/>
      <c r="S19" s="96"/>
      <c r="T19" s="134"/>
      <c r="U19" s="134"/>
      <c r="V19" s="96"/>
      <c r="W19" s="96"/>
      <c r="X19" s="114"/>
      <c r="Y19" s="114"/>
      <c r="Z19" s="114"/>
      <c r="AA19" s="114"/>
      <c r="AB19" s="114"/>
      <c r="AC19" s="114"/>
      <c r="AD19" s="114"/>
      <c r="AE19" s="114"/>
      <c r="AF19" s="96"/>
      <c r="AG19" s="96"/>
      <c r="AH19" s="96"/>
      <c r="AI19" s="96"/>
      <c r="AJ19" s="96"/>
      <c r="AK19" s="96"/>
      <c r="AL19" s="96"/>
    </row>
    <row r="20" spans="1:38" x14ac:dyDescent="0.25">
      <c r="B20" s="199">
        <f>14/4*1000000</f>
        <v>3500000</v>
      </c>
      <c r="C20" s="165">
        <f>44/4*1000000</f>
        <v>11000000</v>
      </c>
      <c r="D20" s="165">
        <f>136/4*1000000</f>
        <v>34000000</v>
      </c>
      <c r="E20" s="83">
        <f>117/4*1000000</f>
        <v>29250000</v>
      </c>
      <c r="F20" s="83">
        <f>53/4*1000000</f>
        <v>13250000</v>
      </c>
      <c r="G20" s="83">
        <f>91/4*1000000</f>
        <v>22750000</v>
      </c>
      <c r="H20" s="165">
        <f>44/4*1000000</f>
        <v>11000000</v>
      </c>
      <c r="I20" s="147">
        <f>117/4*1000000</f>
        <v>29250000</v>
      </c>
      <c r="J20" s="96"/>
      <c r="K20" s="96"/>
      <c r="L20" s="96"/>
      <c r="N20" s="96"/>
      <c r="O20" s="134"/>
      <c r="P20" s="134"/>
      <c r="Q20" s="96"/>
      <c r="R20" s="96"/>
      <c r="S20" s="96"/>
      <c r="T20" s="134"/>
      <c r="U20" s="134"/>
      <c r="V20" s="96"/>
      <c r="W20" s="96"/>
      <c r="X20" s="114"/>
      <c r="Y20" s="114"/>
      <c r="Z20" s="114"/>
      <c r="AA20" s="114"/>
      <c r="AB20" s="114"/>
      <c r="AC20" s="114"/>
      <c r="AD20" s="114"/>
      <c r="AE20" s="114"/>
      <c r="AF20" s="96"/>
      <c r="AG20" s="96"/>
      <c r="AH20" s="96"/>
      <c r="AI20" s="96"/>
      <c r="AJ20" s="96"/>
      <c r="AK20" s="96"/>
      <c r="AL20" s="96"/>
    </row>
    <row r="21" spans="1:38" x14ac:dyDescent="0.25">
      <c r="B21" s="199">
        <f>61/4*1000000</f>
        <v>15250000</v>
      </c>
      <c r="C21" s="165">
        <f>88/4*1000000</f>
        <v>22000000</v>
      </c>
      <c r="D21" s="165">
        <f>65/4*1000000</f>
        <v>16250000</v>
      </c>
      <c r="E21" s="83">
        <f>59/4*1000000</f>
        <v>14750000</v>
      </c>
      <c r="F21" s="83">
        <f>63/4*1000000</f>
        <v>15750000</v>
      </c>
      <c r="G21" s="83">
        <f>52/4*1000000</f>
        <v>13000000</v>
      </c>
      <c r="H21" s="165">
        <f>63/4*1000000</f>
        <v>15750000</v>
      </c>
      <c r="I21" s="147">
        <f>22/4*1000000</f>
        <v>5500000</v>
      </c>
      <c r="J21" s="96"/>
      <c r="K21" s="96"/>
      <c r="L21" s="96"/>
      <c r="N21" s="96"/>
      <c r="O21" s="134"/>
      <c r="P21" s="134"/>
      <c r="Q21" s="96"/>
      <c r="R21" s="96"/>
      <c r="S21" s="96"/>
      <c r="T21" s="134"/>
      <c r="U21" s="134"/>
      <c r="V21" s="96"/>
      <c r="W21" s="96"/>
      <c r="X21" s="115"/>
      <c r="Y21" s="114"/>
      <c r="Z21" s="114"/>
      <c r="AA21" s="114"/>
      <c r="AB21" s="114"/>
      <c r="AC21" s="114"/>
      <c r="AD21" s="114"/>
      <c r="AE21" s="114"/>
      <c r="AF21" s="96"/>
      <c r="AG21" s="96"/>
      <c r="AH21" s="96"/>
      <c r="AI21" s="96"/>
      <c r="AJ21" s="96"/>
      <c r="AK21" s="96"/>
      <c r="AL21" s="96"/>
    </row>
    <row r="22" spans="1:38" x14ac:dyDescent="0.25">
      <c r="B22" s="199">
        <f>83/4*1000000</f>
        <v>20750000</v>
      </c>
      <c r="C22" s="165">
        <f>48/4*1000000</f>
        <v>12000000</v>
      </c>
      <c r="D22" s="165">
        <f>91/4*1000000</f>
        <v>22750000</v>
      </c>
      <c r="E22" s="83">
        <f>54/4*1000000</f>
        <v>13500000</v>
      </c>
      <c r="F22" s="83">
        <f>89/4*1000000</f>
        <v>22250000</v>
      </c>
      <c r="G22" s="83">
        <f>32/4*1000000</f>
        <v>8000000</v>
      </c>
      <c r="H22" s="165">
        <f>60/4*1000000</f>
        <v>15000000</v>
      </c>
      <c r="I22" s="147">
        <f>67/4*1000000</f>
        <v>16750000</v>
      </c>
      <c r="J22" s="96"/>
      <c r="K22" s="96"/>
      <c r="L22" s="96"/>
      <c r="N22" s="96"/>
      <c r="O22" s="134"/>
      <c r="P22" s="134"/>
      <c r="Q22" s="96"/>
      <c r="R22" s="96"/>
      <c r="S22" s="96"/>
      <c r="T22" s="134"/>
      <c r="U22" s="134"/>
      <c r="V22" s="96"/>
      <c r="W22" s="96"/>
      <c r="X22" s="115"/>
      <c r="Y22" s="114"/>
      <c r="Z22" s="114"/>
      <c r="AA22" s="114"/>
      <c r="AB22" s="114"/>
      <c r="AC22" s="114"/>
      <c r="AD22" s="114"/>
      <c r="AE22" s="114"/>
      <c r="AF22" s="96"/>
      <c r="AG22" s="96"/>
      <c r="AH22" s="96"/>
      <c r="AI22" s="96"/>
      <c r="AJ22" s="96"/>
      <c r="AK22" s="96"/>
      <c r="AL22" s="96"/>
    </row>
    <row r="23" spans="1:38" x14ac:dyDescent="0.25">
      <c r="B23" s="205">
        <f>34/4*1000000</f>
        <v>8500000</v>
      </c>
      <c r="C23" s="148">
        <f>12/4*1000000</f>
        <v>3000000</v>
      </c>
      <c r="D23" s="148">
        <v>34000000</v>
      </c>
      <c r="E23" s="203">
        <f>96/4*1000000</f>
        <v>24000000</v>
      </c>
      <c r="F23" s="148">
        <f>31/4*1000000</f>
        <v>7750000</v>
      </c>
      <c r="G23" s="203">
        <f>28/4*1000000</f>
        <v>7000000</v>
      </c>
      <c r="H23" s="220"/>
      <c r="I23" s="149">
        <f>45/4*1000000</f>
        <v>11250000</v>
      </c>
      <c r="J23" s="96"/>
      <c r="K23" s="96"/>
      <c r="L23" s="96"/>
      <c r="N23" s="96"/>
      <c r="O23" s="134"/>
      <c r="P23" s="134"/>
      <c r="Q23" s="96"/>
      <c r="R23" s="96"/>
      <c r="S23" s="96"/>
      <c r="T23" s="134"/>
      <c r="U23" s="134"/>
      <c r="V23" s="96"/>
      <c r="W23" s="96"/>
      <c r="X23" s="115"/>
      <c r="Y23" s="114"/>
      <c r="Z23" s="114"/>
      <c r="AA23" s="114"/>
      <c r="AB23" s="114"/>
      <c r="AC23" s="114"/>
      <c r="AD23" s="114"/>
      <c r="AE23" s="114"/>
      <c r="AF23" s="96"/>
      <c r="AG23" s="96"/>
      <c r="AH23" s="96"/>
      <c r="AI23" s="96"/>
      <c r="AJ23" s="96"/>
      <c r="AK23" s="96"/>
      <c r="AL23" s="96"/>
    </row>
    <row r="24" spans="1:38" x14ac:dyDescent="0.25">
      <c r="A24" s="98"/>
      <c r="B24" s="96"/>
      <c r="C24" s="134"/>
      <c r="D24" s="96"/>
      <c r="E24" s="134"/>
      <c r="F24" s="96"/>
      <c r="G24" s="113"/>
      <c r="H24" s="83"/>
      <c r="I24" s="96"/>
      <c r="J24" s="96"/>
      <c r="K24" s="165"/>
      <c r="L24" s="165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116"/>
      <c r="Y24" s="116"/>
      <c r="Z24" s="116"/>
      <c r="AA24" s="116"/>
      <c r="AB24" s="116"/>
      <c r="AC24" s="116"/>
      <c r="AD24" s="116"/>
      <c r="AE24" s="116"/>
      <c r="AF24" s="96"/>
      <c r="AG24" s="96"/>
      <c r="AH24" s="96"/>
      <c r="AI24" s="96"/>
      <c r="AJ24" s="96"/>
      <c r="AK24" s="96"/>
      <c r="AL24" s="96"/>
    </row>
    <row r="25" spans="1:38" x14ac:dyDescent="0.25">
      <c r="A25" s="98"/>
      <c r="B25" s="165"/>
      <c r="C25" s="165"/>
      <c r="D25" s="96"/>
      <c r="E25" s="165"/>
      <c r="F25" s="96"/>
      <c r="G25" s="134"/>
      <c r="H25" s="96"/>
      <c r="I25" s="96"/>
      <c r="J25" s="96"/>
      <c r="K25" s="165"/>
      <c r="L25" s="165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116"/>
      <c r="Y25" s="116"/>
      <c r="Z25" s="116"/>
      <c r="AA25" s="116"/>
      <c r="AB25" s="116"/>
      <c r="AC25" s="116"/>
      <c r="AD25" s="116"/>
      <c r="AE25" s="116"/>
      <c r="AF25" s="96"/>
      <c r="AG25" s="96"/>
      <c r="AH25" s="96"/>
      <c r="AI25" s="96"/>
      <c r="AJ25" s="96"/>
      <c r="AK25" s="96"/>
      <c r="AL25" s="96"/>
    </row>
    <row r="26" spans="1:38" x14ac:dyDescent="0.25">
      <c r="A26" s="98"/>
      <c r="B26" s="96"/>
      <c r="C26" s="134"/>
      <c r="D26" s="96"/>
      <c r="E26" s="134"/>
      <c r="F26" s="83"/>
      <c r="G26" s="134"/>
      <c r="H26" s="96"/>
      <c r="I26" s="96"/>
      <c r="J26" s="96"/>
      <c r="K26" s="96"/>
      <c r="L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116"/>
      <c r="Y26" s="116"/>
      <c r="Z26" s="116"/>
      <c r="AA26" s="116"/>
      <c r="AB26" s="116"/>
      <c r="AC26" s="116"/>
      <c r="AD26" s="116"/>
      <c r="AE26" s="116"/>
      <c r="AF26" s="96"/>
      <c r="AG26" s="96"/>
      <c r="AH26" s="96"/>
      <c r="AI26" s="96"/>
      <c r="AJ26" s="96"/>
      <c r="AK26" s="96"/>
      <c r="AL26" s="96"/>
    </row>
    <row r="27" spans="1:38" x14ac:dyDescent="0.25">
      <c r="A27" s="98"/>
      <c r="B27" s="96"/>
      <c r="C27" s="134"/>
      <c r="D27" s="96"/>
      <c r="E27" s="134"/>
      <c r="F27" s="96"/>
      <c r="G27" s="113"/>
      <c r="H27" s="83"/>
      <c r="I27" s="96"/>
      <c r="J27" s="96"/>
      <c r="K27" s="96"/>
      <c r="L27" s="165"/>
      <c r="M27" s="138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8"/>
      <c r="Y27" s="96"/>
      <c r="Z27" s="96"/>
      <c r="AF27" s="96"/>
      <c r="AG27" s="96"/>
      <c r="AH27" s="96"/>
      <c r="AI27" s="96"/>
      <c r="AJ27" s="96"/>
      <c r="AK27" s="96"/>
      <c r="AL27" s="96"/>
    </row>
    <row r="28" spans="1:38" x14ac:dyDescent="0.25">
      <c r="A28" s="98"/>
      <c r="B28" s="96"/>
      <c r="C28" s="134"/>
      <c r="D28" s="96"/>
      <c r="E28" s="134"/>
      <c r="F28" s="96"/>
      <c r="G28" s="113"/>
      <c r="H28" s="83"/>
      <c r="I28" s="96"/>
      <c r="J28" s="96"/>
      <c r="K28" s="96"/>
      <c r="L28" s="165"/>
      <c r="M28" s="138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8"/>
      <c r="Y28" s="99"/>
      <c r="Z28" s="96"/>
      <c r="AF28" s="96"/>
      <c r="AG28" s="96"/>
      <c r="AH28" s="96"/>
      <c r="AI28" s="96"/>
      <c r="AJ28" s="96"/>
      <c r="AK28" s="96"/>
      <c r="AL28" s="96"/>
    </row>
    <row r="29" spans="1:38" x14ac:dyDescent="0.25">
      <c r="A29" s="98"/>
      <c r="B29" s="96"/>
      <c r="C29" s="134"/>
      <c r="D29" s="96"/>
      <c r="E29" s="134"/>
      <c r="F29" s="96"/>
      <c r="G29" s="134"/>
      <c r="H29" s="96"/>
      <c r="I29" s="96"/>
      <c r="J29" s="96"/>
      <c r="K29" s="96"/>
      <c r="L29" s="165"/>
      <c r="M29" s="138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8"/>
      <c r="Y29" s="99"/>
      <c r="Z29" s="96"/>
      <c r="AF29" s="96"/>
      <c r="AG29" s="96"/>
      <c r="AH29" s="96"/>
      <c r="AI29" s="96"/>
      <c r="AJ29" s="96"/>
      <c r="AK29" s="96"/>
      <c r="AL29" s="96"/>
    </row>
    <row r="30" spans="1:38" x14ac:dyDescent="0.25">
      <c r="A30" s="98"/>
      <c r="B30" s="96"/>
      <c r="C30" s="134"/>
      <c r="D30" s="96"/>
      <c r="E30" s="134"/>
      <c r="F30" s="83"/>
      <c r="G30" s="134"/>
      <c r="H30" s="96"/>
      <c r="I30" s="96"/>
      <c r="J30" s="96"/>
      <c r="K30" s="96"/>
      <c r="L30" s="165"/>
      <c r="M30" s="138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8"/>
      <c r="Y30" s="99"/>
      <c r="Z30" s="96"/>
      <c r="AF30" s="96"/>
      <c r="AG30" s="96"/>
      <c r="AH30" s="96"/>
      <c r="AI30" s="96"/>
      <c r="AJ30" s="96"/>
      <c r="AK30" s="96"/>
      <c r="AL30" s="96"/>
    </row>
    <row r="31" spans="1:38" x14ac:dyDescent="0.25">
      <c r="A31" s="98"/>
      <c r="B31" s="165"/>
      <c r="C31" s="165"/>
      <c r="D31" s="96"/>
      <c r="E31" s="134"/>
      <c r="F31" s="96"/>
      <c r="G31" s="134"/>
      <c r="H31" s="96"/>
      <c r="I31" s="96"/>
      <c r="J31" s="96"/>
      <c r="K31" s="96"/>
      <c r="L31" s="165"/>
      <c r="M31" s="138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8"/>
      <c r="Y31" s="99"/>
      <c r="Z31" s="96"/>
      <c r="AF31" s="96"/>
      <c r="AG31" s="96"/>
      <c r="AH31" s="96"/>
      <c r="AI31" s="96"/>
      <c r="AJ31" s="96"/>
      <c r="AK31" s="96"/>
      <c r="AL31" s="96"/>
    </row>
    <row r="32" spans="1:38" x14ac:dyDescent="0.25">
      <c r="A32" s="98"/>
      <c r="B32" s="165"/>
      <c r="C32" s="165"/>
      <c r="D32" s="96"/>
      <c r="E32" s="165"/>
      <c r="F32" s="83"/>
      <c r="G32" s="134"/>
      <c r="H32" s="96"/>
      <c r="I32" s="96"/>
      <c r="J32" s="96"/>
      <c r="K32" s="96"/>
      <c r="L32" s="165"/>
      <c r="M32" s="138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8"/>
      <c r="Y32" s="99"/>
      <c r="Z32" s="96"/>
      <c r="AF32" s="96"/>
      <c r="AG32" s="96"/>
      <c r="AH32" s="96"/>
      <c r="AI32" s="96"/>
      <c r="AJ32" s="96"/>
      <c r="AK32" s="96"/>
      <c r="AL32" s="96"/>
    </row>
    <row r="33" spans="1:38" x14ac:dyDescent="0.25">
      <c r="A33" s="98"/>
      <c r="B33" s="96"/>
      <c r="C33" s="96"/>
      <c r="D33" s="96"/>
      <c r="E33" s="134"/>
      <c r="F33" s="96"/>
      <c r="G33" s="134"/>
      <c r="H33" s="96"/>
      <c r="I33" s="96"/>
      <c r="J33" s="96"/>
      <c r="K33" s="96"/>
      <c r="L33" s="165"/>
      <c r="M33" s="138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8"/>
      <c r="Y33" s="99"/>
      <c r="Z33" s="96"/>
      <c r="AF33" s="96"/>
      <c r="AG33" s="96"/>
      <c r="AH33" s="96"/>
      <c r="AI33" s="96"/>
      <c r="AJ33" s="96"/>
      <c r="AK33" s="96"/>
      <c r="AL33" s="96"/>
    </row>
    <row r="34" spans="1:38" x14ac:dyDescent="0.25">
      <c r="A34" s="98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165"/>
      <c r="M34" s="138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8"/>
      <c r="Y34" s="99"/>
      <c r="Z34" s="96"/>
      <c r="AF34" s="96"/>
      <c r="AG34" s="96"/>
      <c r="AH34" s="96"/>
      <c r="AI34" s="96"/>
      <c r="AJ34" s="96"/>
      <c r="AK34" s="96"/>
      <c r="AL34" s="96"/>
    </row>
    <row r="35" spans="1:38" x14ac:dyDescent="0.25">
      <c r="A35" s="98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165"/>
      <c r="M35" s="138"/>
      <c r="X35" s="35"/>
      <c r="Y35" s="25"/>
      <c r="AF35" s="96"/>
      <c r="AG35" s="96"/>
      <c r="AH35" s="96"/>
      <c r="AI35" s="96"/>
      <c r="AJ35" s="96"/>
      <c r="AK35" s="96"/>
      <c r="AL35" s="96"/>
    </row>
    <row r="36" spans="1:38" x14ac:dyDescent="0.25">
      <c r="A36" s="35"/>
      <c r="L36" s="138"/>
      <c r="M36" s="138"/>
      <c r="X36" s="35"/>
      <c r="Y36" s="25"/>
      <c r="AF36" s="96"/>
      <c r="AG36" s="96"/>
      <c r="AH36" s="96"/>
      <c r="AI36" s="96"/>
      <c r="AJ36" s="96"/>
      <c r="AK36" s="96"/>
      <c r="AL36" s="96"/>
    </row>
    <row r="37" spans="1:38" x14ac:dyDescent="0.25">
      <c r="A37" s="35"/>
      <c r="N37" s="138"/>
      <c r="X37" s="35"/>
      <c r="Y37" s="25"/>
      <c r="AF37" s="96"/>
      <c r="AG37" s="96"/>
      <c r="AH37" s="96"/>
      <c r="AI37" s="96"/>
      <c r="AJ37" s="96"/>
      <c r="AK37" s="96"/>
      <c r="AL37" s="96"/>
    </row>
    <row r="38" spans="1:38" x14ac:dyDescent="0.25">
      <c r="A38" s="35"/>
      <c r="N38" s="138"/>
      <c r="X38" s="35"/>
      <c r="Y38" s="25"/>
      <c r="AF38" s="96"/>
      <c r="AG38" s="96"/>
      <c r="AH38" s="96"/>
      <c r="AI38" s="96"/>
      <c r="AJ38" s="96"/>
      <c r="AK38" s="96"/>
      <c r="AL38" s="96"/>
    </row>
    <row r="39" spans="1:38" x14ac:dyDescent="0.25">
      <c r="A39" s="35"/>
      <c r="X39" s="35"/>
      <c r="Y39" s="25"/>
      <c r="AF39" s="96"/>
      <c r="AG39" s="96"/>
      <c r="AH39" s="96"/>
      <c r="AI39" s="96"/>
      <c r="AJ39" s="96"/>
      <c r="AK39" s="96"/>
      <c r="AL39" s="96"/>
    </row>
    <row r="40" spans="1:38" x14ac:dyDescent="0.25">
      <c r="A40" s="35"/>
      <c r="X40" s="35"/>
      <c r="Y40" s="25"/>
      <c r="AF40" s="96"/>
      <c r="AG40" s="96"/>
      <c r="AH40" s="96"/>
      <c r="AI40" s="96"/>
      <c r="AJ40" s="96"/>
      <c r="AK40" s="96"/>
      <c r="AL40" s="96"/>
    </row>
    <row r="41" spans="1:38" x14ac:dyDescent="0.25">
      <c r="AF41" s="96"/>
      <c r="AG41" s="96"/>
      <c r="AH41" s="96"/>
      <c r="AI41" s="96"/>
      <c r="AJ41" s="96"/>
      <c r="AK41" s="96"/>
      <c r="AL41" s="96"/>
    </row>
    <row r="42" spans="1:38" x14ac:dyDescent="0.25">
      <c r="A42" s="35"/>
      <c r="B42" s="25"/>
      <c r="C42" s="25"/>
      <c r="D42" s="25"/>
      <c r="E42" s="25"/>
      <c r="F42" s="25"/>
      <c r="L42" s="130"/>
      <c r="M42" s="95"/>
      <c r="N42" s="95"/>
      <c r="O42" s="95"/>
      <c r="P42" s="95"/>
      <c r="Q42" s="95"/>
      <c r="R42" s="95"/>
      <c r="S42" s="95"/>
      <c r="T42" s="95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</row>
    <row r="43" spans="1:38" x14ac:dyDescent="0.25">
      <c r="A43" s="35"/>
      <c r="B43" s="25"/>
      <c r="C43" s="25"/>
      <c r="D43" s="25"/>
      <c r="E43" s="25"/>
      <c r="F43" s="25"/>
      <c r="L43" s="130"/>
      <c r="M43" s="95"/>
      <c r="N43" s="95"/>
      <c r="O43" s="95"/>
      <c r="P43" s="95"/>
      <c r="Q43" s="95"/>
      <c r="R43" s="95"/>
      <c r="S43" s="95"/>
      <c r="T43" s="95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</row>
    <row r="44" spans="1:38" x14ac:dyDescent="0.25">
      <c r="A44" s="35"/>
      <c r="B44" s="25"/>
      <c r="C44" s="25"/>
      <c r="D44" s="25"/>
      <c r="E44" s="25"/>
      <c r="F44" s="25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</row>
    <row r="45" spans="1:38" x14ac:dyDescent="0.25">
      <c r="A45" s="35"/>
      <c r="B45" s="25"/>
      <c r="C45" s="25"/>
      <c r="D45" s="25"/>
      <c r="E45" s="25"/>
      <c r="F45" s="25"/>
      <c r="L45" s="130"/>
      <c r="M45" s="95"/>
      <c r="N45" s="95"/>
      <c r="O45" s="95"/>
      <c r="P45" s="95"/>
      <c r="Q45" s="95"/>
      <c r="R45" s="95"/>
      <c r="S45" s="95"/>
      <c r="T45" s="95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</row>
    <row r="46" spans="1:38" x14ac:dyDescent="0.25">
      <c r="A46" s="35"/>
      <c r="B46" s="25"/>
      <c r="C46" s="25"/>
      <c r="D46" s="25"/>
      <c r="E46" s="25"/>
      <c r="F46" s="25"/>
      <c r="L46" s="130"/>
      <c r="M46" s="95"/>
      <c r="N46" s="95"/>
      <c r="O46" s="95"/>
      <c r="P46" s="95"/>
      <c r="Q46" s="95"/>
      <c r="R46" s="95"/>
      <c r="S46" s="95"/>
      <c r="T46" s="95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</row>
    <row r="47" spans="1:38" x14ac:dyDescent="0.25">
      <c r="A47" s="35"/>
      <c r="B47" s="25"/>
      <c r="C47" s="25"/>
      <c r="D47" s="25"/>
      <c r="E47" s="25"/>
      <c r="F47" s="25"/>
      <c r="L47" s="130"/>
      <c r="M47" s="95"/>
      <c r="N47" s="95"/>
      <c r="O47" s="95"/>
      <c r="P47" s="95"/>
      <c r="Q47" s="95"/>
      <c r="R47" s="95"/>
      <c r="S47" s="95"/>
      <c r="T47" s="95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</row>
    <row r="48" spans="1:38" x14ac:dyDescent="0.25">
      <c r="A48" s="35"/>
      <c r="B48" s="25"/>
      <c r="C48" s="25"/>
      <c r="D48" s="25"/>
      <c r="E48" s="25"/>
      <c r="F48" s="25"/>
      <c r="L48" s="130"/>
      <c r="M48" s="95"/>
      <c r="N48" s="95"/>
      <c r="O48" s="95"/>
      <c r="P48" s="95"/>
      <c r="Q48" s="95"/>
      <c r="R48" s="95"/>
      <c r="S48" s="95"/>
      <c r="T48" s="95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</row>
    <row r="49" spans="1:38" x14ac:dyDescent="0.25">
      <c r="A49" s="35"/>
      <c r="B49" s="25"/>
      <c r="C49" s="25"/>
      <c r="D49" s="25"/>
      <c r="E49" s="25"/>
      <c r="F49" s="25"/>
      <c r="L49" s="130"/>
      <c r="M49" s="95"/>
      <c r="N49" s="95"/>
      <c r="O49" s="95"/>
      <c r="P49" s="95"/>
      <c r="Q49" s="95"/>
      <c r="R49" s="95"/>
      <c r="S49" s="95"/>
      <c r="T49" s="95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</row>
    <row r="50" spans="1:38" x14ac:dyDescent="0.25">
      <c r="A50" s="35"/>
      <c r="B50" s="25"/>
      <c r="C50" s="25"/>
      <c r="D50" s="25"/>
      <c r="E50" s="25"/>
      <c r="F50" s="25"/>
      <c r="L50" s="130"/>
      <c r="M50" s="95"/>
      <c r="N50" s="95"/>
      <c r="O50" s="95"/>
      <c r="P50" s="95"/>
      <c r="Q50" s="95"/>
      <c r="R50" s="95"/>
      <c r="S50" s="95"/>
      <c r="T50" s="95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</row>
    <row r="51" spans="1:38" x14ac:dyDescent="0.25">
      <c r="A51" s="35"/>
      <c r="B51" s="25"/>
      <c r="C51" s="25"/>
      <c r="D51" s="25"/>
      <c r="E51" s="25"/>
      <c r="F51" s="25"/>
      <c r="L51" s="130"/>
      <c r="M51" s="95"/>
      <c r="N51" s="95"/>
      <c r="O51" s="95"/>
      <c r="P51" s="95"/>
      <c r="Q51" s="95"/>
      <c r="R51" s="95"/>
      <c r="S51" s="95"/>
      <c r="T51" s="95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</row>
    <row r="52" spans="1:38" x14ac:dyDescent="0.25">
      <c r="A52" s="35"/>
      <c r="B52" s="25"/>
      <c r="C52" s="25"/>
      <c r="D52" s="25"/>
      <c r="E52" s="25"/>
      <c r="F52" s="25"/>
      <c r="L52" s="133"/>
      <c r="M52" s="134"/>
      <c r="N52" s="134"/>
      <c r="O52" s="134"/>
      <c r="P52" s="95"/>
      <c r="Q52" s="95"/>
      <c r="R52" s="95"/>
      <c r="S52" s="95"/>
      <c r="T52" s="95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</row>
    <row r="53" spans="1:38" x14ac:dyDescent="0.25">
      <c r="A53" s="35"/>
      <c r="B53" s="25"/>
      <c r="C53" s="25"/>
      <c r="D53" s="25"/>
      <c r="E53" s="25"/>
      <c r="F53" s="25"/>
      <c r="L53" s="130"/>
      <c r="M53" s="95"/>
      <c r="N53" s="95"/>
      <c r="O53" s="95"/>
      <c r="P53" s="95"/>
      <c r="Q53" s="95"/>
      <c r="R53" s="95"/>
      <c r="S53" s="95"/>
      <c r="T53" s="95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</row>
    <row r="54" spans="1:38" x14ac:dyDescent="0.25">
      <c r="A54" s="35"/>
      <c r="B54" s="25"/>
      <c r="C54" s="25"/>
      <c r="D54" s="25"/>
      <c r="E54" s="25"/>
      <c r="F54" s="25"/>
      <c r="L54" s="130"/>
      <c r="M54" s="95"/>
      <c r="N54" s="95"/>
      <c r="O54" s="95"/>
      <c r="P54" s="95"/>
      <c r="Q54" s="95"/>
      <c r="R54" s="95"/>
      <c r="S54" s="95"/>
      <c r="T54" s="95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</row>
    <row r="55" spans="1:38" x14ac:dyDescent="0.25">
      <c r="A55" s="35"/>
      <c r="B55" s="25"/>
      <c r="C55" s="25"/>
      <c r="D55" s="25"/>
      <c r="E55" s="25"/>
      <c r="F55" s="25"/>
      <c r="L55" s="130"/>
      <c r="M55" s="95"/>
      <c r="N55" s="95"/>
      <c r="O55" s="95"/>
      <c r="P55" s="95"/>
      <c r="Q55" s="95"/>
      <c r="R55" s="95"/>
      <c r="S55" s="95"/>
      <c r="T55" s="95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</row>
    <row r="56" spans="1:38" x14ac:dyDescent="0.25">
      <c r="A56" s="35"/>
      <c r="B56" s="25"/>
      <c r="C56" s="25"/>
      <c r="D56" s="25"/>
      <c r="E56" s="25"/>
      <c r="F56" s="25"/>
      <c r="L56" s="130"/>
      <c r="M56" s="95"/>
      <c r="N56" s="95"/>
      <c r="O56" s="95"/>
      <c r="P56" s="95"/>
      <c r="Q56" s="95"/>
      <c r="R56" s="95"/>
      <c r="S56" s="95"/>
      <c r="T56" s="95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</row>
    <row r="57" spans="1:38" x14ac:dyDescent="0.25">
      <c r="A57" s="35"/>
      <c r="B57" s="25"/>
      <c r="C57" s="25"/>
      <c r="D57" s="25"/>
      <c r="E57" s="25"/>
      <c r="F57" s="25"/>
      <c r="L57" s="130"/>
      <c r="M57" s="95"/>
      <c r="N57" s="95"/>
      <c r="O57" s="95"/>
      <c r="P57" s="95"/>
      <c r="Q57" s="95"/>
      <c r="R57" s="95"/>
      <c r="S57" s="95"/>
      <c r="T57" s="95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</row>
    <row r="58" spans="1:38" x14ac:dyDescent="0.25">
      <c r="A58" s="35"/>
      <c r="B58" s="25"/>
      <c r="C58" s="25"/>
      <c r="D58" s="25"/>
      <c r="E58" s="25"/>
      <c r="F58" s="25"/>
      <c r="L58" s="130"/>
      <c r="M58" s="95"/>
      <c r="N58" s="95"/>
      <c r="O58" s="95"/>
      <c r="P58" s="95"/>
      <c r="Q58" s="95"/>
      <c r="R58" s="95"/>
      <c r="S58" s="95"/>
      <c r="T58" s="95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</row>
    <row r="59" spans="1:38" x14ac:dyDescent="0.25">
      <c r="A59" s="35"/>
      <c r="B59" s="25"/>
      <c r="C59" s="25"/>
      <c r="D59" s="25"/>
      <c r="E59" s="25"/>
      <c r="F59" s="25"/>
      <c r="L59" s="130"/>
      <c r="M59" s="95"/>
      <c r="N59" s="95"/>
      <c r="O59" s="95"/>
      <c r="P59" s="95"/>
      <c r="Q59" s="95"/>
      <c r="R59" s="95"/>
      <c r="S59" s="95"/>
      <c r="T59" s="95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</row>
    <row r="60" spans="1:38" x14ac:dyDescent="0.25">
      <c r="A60" s="35"/>
      <c r="B60" s="25"/>
      <c r="C60" s="25"/>
      <c r="D60" s="25"/>
      <c r="E60" s="25"/>
      <c r="F60" s="25"/>
      <c r="L60" s="130"/>
      <c r="M60" s="95"/>
      <c r="N60" s="95"/>
      <c r="O60" s="95"/>
      <c r="P60" s="95"/>
      <c r="Q60" s="95"/>
      <c r="R60" s="95"/>
      <c r="S60" s="95"/>
      <c r="T60" s="95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</row>
    <row r="61" spans="1:38" x14ac:dyDescent="0.25">
      <c r="A61" s="35"/>
      <c r="B61" s="25"/>
      <c r="C61" s="25"/>
      <c r="D61" s="25"/>
      <c r="E61" s="25"/>
      <c r="F61" s="25"/>
      <c r="L61" s="130"/>
      <c r="M61" s="95"/>
      <c r="N61" s="95"/>
      <c r="O61" s="95"/>
      <c r="P61" s="95"/>
      <c r="Q61" s="95"/>
      <c r="R61" s="95"/>
      <c r="S61" s="95"/>
      <c r="T61" s="95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</row>
    <row r="62" spans="1:38" x14ac:dyDescent="0.25">
      <c r="A62" s="35"/>
      <c r="B62" s="25"/>
      <c r="C62" s="25"/>
      <c r="D62" s="25"/>
      <c r="E62" s="25"/>
      <c r="F62" s="25"/>
      <c r="L62" s="130"/>
      <c r="M62" s="95"/>
      <c r="N62" s="95"/>
      <c r="O62" s="95"/>
      <c r="P62" s="95"/>
      <c r="Q62" s="95"/>
      <c r="R62" s="95"/>
      <c r="S62" s="95"/>
      <c r="T62" s="95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</row>
    <row r="63" spans="1:38" x14ac:dyDescent="0.25">
      <c r="A63" s="35"/>
      <c r="B63" s="25"/>
      <c r="C63" s="25"/>
      <c r="D63" s="25"/>
      <c r="E63" s="25"/>
      <c r="F63" s="25"/>
      <c r="L63" s="130"/>
      <c r="M63" s="95"/>
      <c r="N63" s="95"/>
      <c r="O63" s="95"/>
      <c r="P63" s="95"/>
      <c r="Q63" s="95"/>
      <c r="R63" s="95"/>
      <c r="S63" s="95"/>
      <c r="T63" s="95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</row>
    <row r="64" spans="1:38" x14ac:dyDescent="0.25">
      <c r="A64" s="35"/>
      <c r="B64" s="25"/>
      <c r="C64" s="25"/>
      <c r="D64" s="25"/>
      <c r="E64" s="25"/>
      <c r="F64" s="25"/>
      <c r="L64" s="130"/>
      <c r="M64" s="95"/>
      <c r="N64" s="95"/>
      <c r="O64" s="95"/>
      <c r="P64" s="95"/>
      <c r="Q64" s="95"/>
      <c r="R64" s="95"/>
      <c r="S64" s="95"/>
      <c r="T64" s="95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</row>
    <row r="65" spans="1:38" x14ac:dyDescent="0.25">
      <c r="A65" s="25"/>
      <c r="B65" s="25"/>
      <c r="C65" s="25"/>
      <c r="D65" s="25"/>
      <c r="L65" s="95"/>
      <c r="M65" s="95"/>
      <c r="N65" s="95"/>
      <c r="O65" s="95"/>
      <c r="P65" s="95"/>
      <c r="Q65" s="95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</row>
    <row r="66" spans="1:38" x14ac:dyDescent="0.25">
      <c r="L66" s="95"/>
      <c r="M66" s="95"/>
      <c r="N66" s="95"/>
      <c r="O66" s="95"/>
      <c r="P66" s="95"/>
      <c r="Q66" s="95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</row>
    <row r="67" spans="1:38" x14ac:dyDescent="0.25">
      <c r="L67" s="95"/>
      <c r="M67" s="95"/>
      <c r="N67" s="95"/>
      <c r="O67" s="95"/>
      <c r="P67" s="95"/>
      <c r="Q67" s="95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</row>
    <row r="68" spans="1:38" x14ac:dyDescent="0.25">
      <c r="L68" s="95"/>
      <c r="M68" s="95"/>
      <c r="N68" s="95"/>
      <c r="O68" s="95"/>
      <c r="P68" s="95"/>
      <c r="Q68" s="95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</row>
    <row r="69" spans="1:38" x14ac:dyDescent="0.25"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</row>
  </sheetData>
  <mergeCells count="2">
    <mergeCell ref="B2:I2"/>
    <mergeCell ref="N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EA4E-FB7D-442F-AD67-5308623CF124}">
  <dimension ref="B1:AO41"/>
  <sheetViews>
    <sheetView zoomScale="78" zoomScaleNormal="48" workbookViewId="0">
      <selection activeCell="K23" sqref="K23"/>
    </sheetView>
  </sheetViews>
  <sheetFormatPr defaultRowHeight="15" x14ac:dyDescent="0.25"/>
  <cols>
    <col min="11" max="11" width="12.140625" customWidth="1"/>
  </cols>
  <sheetData>
    <row r="1" spans="2:41" x14ac:dyDescent="0.25">
      <c r="B1" s="121" t="s">
        <v>233</v>
      </c>
    </row>
    <row r="2" spans="2:41" x14ac:dyDescent="0.25">
      <c r="B2" s="254" t="s">
        <v>63</v>
      </c>
      <c r="C2" s="255"/>
      <c r="D2" s="255"/>
      <c r="E2" s="255"/>
      <c r="F2" s="255"/>
      <c r="G2" s="255"/>
      <c r="H2" s="255"/>
      <c r="I2" s="256"/>
      <c r="J2" s="96"/>
      <c r="K2" s="96"/>
      <c r="L2" s="96"/>
      <c r="M2" s="96"/>
      <c r="N2" s="115"/>
      <c r="O2" s="115"/>
      <c r="P2" s="115"/>
      <c r="Q2" s="115"/>
      <c r="R2" s="115"/>
      <c r="S2" s="115"/>
      <c r="T2" s="115"/>
      <c r="U2" s="115"/>
      <c r="V2" s="96"/>
      <c r="W2" s="96"/>
      <c r="X2" s="115"/>
      <c r="Y2" s="115"/>
      <c r="Z2" s="115"/>
      <c r="AA2" s="115"/>
      <c r="AB2" s="115"/>
      <c r="AC2" s="115"/>
      <c r="AD2" s="115"/>
      <c r="AE2" s="115"/>
      <c r="AF2" s="96"/>
      <c r="AG2" s="115"/>
      <c r="AH2" s="115"/>
      <c r="AI2" s="115"/>
      <c r="AJ2" s="115"/>
      <c r="AK2" s="115"/>
      <c r="AL2" s="115"/>
      <c r="AM2" s="115"/>
      <c r="AN2" s="115"/>
      <c r="AO2" s="115"/>
    </row>
    <row r="3" spans="2:41" x14ac:dyDescent="0.25">
      <c r="B3" s="3" t="s">
        <v>3</v>
      </c>
      <c r="C3" s="91" t="s">
        <v>41</v>
      </c>
      <c r="D3" s="91" t="s">
        <v>43</v>
      </c>
      <c r="E3" s="91" t="s">
        <v>44</v>
      </c>
      <c r="F3" s="91" t="s">
        <v>45</v>
      </c>
      <c r="G3" s="91" t="s">
        <v>46</v>
      </c>
      <c r="H3" s="91" t="s">
        <v>47</v>
      </c>
      <c r="I3" s="6" t="s">
        <v>48</v>
      </c>
      <c r="J3" s="219"/>
      <c r="K3" s="165" t="s">
        <v>56</v>
      </c>
      <c r="L3" s="96"/>
      <c r="M3" s="96"/>
      <c r="N3" s="96"/>
      <c r="O3" s="96"/>
      <c r="P3" s="165"/>
      <c r="Q3" s="165"/>
      <c r="R3" s="165"/>
      <c r="S3" s="165"/>
      <c r="T3" s="165"/>
      <c r="U3" s="165"/>
      <c r="V3" s="96"/>
      <c r="W3" s="96"/>
      <c r="X3" s="165"/>
      <c r="Y3" s="165"/>
      <c r="Z3" s="165"/>
      <c r="AA3" s="165"/>
      <c r="AB3" s="165"/>
      <c r="AC3" s="165"/>
      <c r="AD3" s="165"/>
      <c r="AE3" s="165"/>
      <c r="AF3" s="96"/>
      <c r="AG3" s="96"/>
      <c r="AH3" s="95"/>
      <c r="AI3" s="95"/>
      <c r="AJ3" s="95"/>
      <c r="AK3" s="95"/>
      <c r="AL3" s="95"/>
      <c r="AM3" s="95"/>
      <c r="AN3" s="95"/>
      <c r="AO3" s="95"/>
    </row>
    <row r="4" spans="2:41" x14ac:dyDescent="0.25">
      <c r="B4" s="199">
        <f>32/4*1000000</f>
        <v>8000000</v>
      </c>
      <c r="C4" s="165">
        <f>166/4*1000000</f>
        <v>41500000</v>
      </c>
      <c r="D4" s="83">
        <f>66/4*1000000</f>
        <v>16500000</v>
      </c>
      <c r="E4" s="83">
        <f>115/4*1000000</f>
        <v>28750000</v>
      </c>
      <c r="F4" s="83">
        <f>106/4*1000000</f>
        <v>26500000</v>
      </c>
      <c r="G4" s="83">
        <f>122/4*1000000</f>
        <v>30500000</v>
      </c>
      <c r="H4" s="83">
        <f>77/4*1000000</f>
        <v>19250000</v>
      </c>
      <c r="I4" s="206">
        <f>80/4*1000000</f>
        <v>20000000</v>
      </c>
      <c r="J4" s="96"/>
      <c r="K4" s="165"/>
      <c r="L4" s="83"/>
      <c r="M4" s="96"/>
      <c r="N4" s="96"/>
      <c r="O4" s="96"/>
      <c r="P4" s="83"/>
      <c r="Q4" s="83"/>
      <c r="R4" s="83"/>
      <c r="S4" s="83"/>
      <c r="T4" s="83"/>
      <c r="U4" s="83"/>
      <c r="V4" s="96"/>
      <c r="W4" s="98"/>
      <c r="X4" s="113"/>
      <c r="Y4" s="113"/>
      <c r="Z4" s="113"/>
      <c r="AA4" s="113"/>
      <c r="AB4" s="113"/>
      <c r="AC4" s="113"/>
      <c r="AD4" s="113"/>
      <c r="AE4" s="113"/>
      <c r="AF4" s="96"/>
      <c r="AG4" s="98"/>
      <c r="AH4" s="110"/>
      <c r="AI4" s="110"/>
      <c r="AJ4" s="110"/>
      <c r="AK4" s="110"/>
      <c r="AL4" s="110"/>
      <c r="AM4" s="110"/>
      <c r="AN4" s="110"/>
      <c r="AO4" s="110"/>
    </row>
    <row r="5" spans="2:41" x14ac:dyDescent="0.25">
      <c r="B5" s="199">
        <f>37/4*1000000</f>
        <v>9250000</v>
      </c>
      <c r="C5" s="165">
        <f>106/4*1000000</f>
        <v>26500000</v>
      </c>
      <c r="D5" s="83">
        <f>68/4*1000000</f>
        <v>17000000</v>
      </c>
      <c r="E5" s="83">
        <f>107/4*1000000</f>
        <v>26750000</v>
      </c>
      <c r="F5" s="83">
        <f>95/4*1000000</f>
        <v>23750000</v>
      </c>
      <c r="G5" s="83">
        <f>94/4*1000000</f>
        <v>23500000</v>
      </c>
      <c r="H5" s="83">
        <f>47/4*1000000</f>
        <v>11750000</v>
      </c>
      <c r="I5" s="206">
        <f>129/4*1000000</f>
        <v>32250000</v>
      </c>
      <c r="J5" s="96"/>
      <c r="K5" s="83"/>
      <c r="L5" s="83"/>
      <c r="M5" s="96"/>
      <c r="N5" s="96"/>
      <c r="O5" s="96"/>
      <c r="P5" s="83"/>
      <c r="Q5" s="83"/>
      <c r="R5" s="83"/>
      <c r="S5" s="83"/>
      <c r="T5" s="83"/>
      <c r="U5" s="83"/>
      <c r="V5" s="96"/>
      <c r="W5" s="98"/>
      <c r="X5" s="113"/>
      <c r="Y5" s="113"/>
      <c r="Z5" s="113"/>
      <c r="AA5" s="113"/>
      <c r="AB5" s="113"/>
      <c r="AC5" s="113"/>
      <c r="AD5" s="113"/>
      <c r="AE5" s="113"/>
      <c r="AF5" s="96"/>
      <c r="AG5" s="98"/>
      <c r="AH5" s="110"/>
      <c r="AI5" s="110"/>
      <c r="AJ5" s="110"/>
      <c r="AK5" s="110"/>
      <c r="AL5" s="110"/>
      <c r="AM5" s="110"/>
      <c r="AN5" s="110"/>
      <c r="AO5" s="110"/>
    </row>
    <row r="6" spans="2:41" x14ac:dyDescent="0.25">
      <c r="B6" s="199">
        <f>33/4*1000000</f>
        <v>8250000</v>
      </c>
      <c r="C6" s="165">
        <f>83/4*1000000</f>
        <v>20750000</v>
      </c>
      <c r="D6" s="83">
        <f>14/4*1000000</f>
        <v>3500000</v>
      </c>
      <c r="E6" s="83">
        <f>90/4*1000000</f>
        <v>22500000</v>
      </c>
      <c r="F6" s="83">
        <f>83/4*1000000</f>
        <v>20750000</v>
      </c>
      <c r="G6" s="83">
        <f>79/4*1000000</f>
        <v>19750000</v>
      </c>
      <c r="H6" s="83">
        <f>29/4*1000000</f>
        <v>7250000</v>
      </c>
      <c r="I6" s="206">
        <f>71/4*1000000</f>
        <v>17750000</v>
      </c>
      <c r="J6" s="96"/>
      <c r="K6" s="96"/>
      <c r="L6" s="96"/>
      <c r="M6" s="96"/>
      <c r="N6" s="96"/>
      <c r="O6" s="96"/>
      <c r="P6" s="83"/>
      <c r="Q6" s="83"/>
      <c r="R6" s="83"/>
      <c r="S6" s="83"/>
      <c r="T6" s="83"/>
      <c r="U6" s="83"/>
      <c r="V6" s="96"/>
      <c r="W6" s="98"/>
      <c r="X6" s="113"/>
      <c r="Y6" s="113"/>
      <c r="Z6" s="113"/>
      <c r="AA6" s="113"/>
      <c r="AB6" s="113"/>
      <c r="AC6" s="113"/>
      <c r="AD6" s="113"/>
      <c r="AE6" s="113"/>
      <c r="AF6" s="96"/>
      <c r="AG6" s="98"/>
      <c r="AH6" s="110"/>
      <c r="AI6" s="110"/>
      <c r="AJ6" s="110"/>
      <c r="AK6" s="110"/>
      <c r="AL6" s="110"/>
      <c r="AM6" s="110"/>
      <c r="AN6" s="110"/>
      <c r="AO6" s="110"/>
    </row>
    <row r="7" spans="2:41" x14ac:dyDescent="0.25">
      <c r="B7" s="199">
        <f>65/4*1000000</f>
        <v>16250000</v>
      </c>
      <c r="C7" s="165">
        <f>74/4*1000000</f>
        <v>18500000</v>
      </c>
      <c r="D7" s="83">
        <f>54/4*1000000</f>
        <v>13500000</v>
      </c>
      <c r="E7" s="83">
        <f>58/4*1000000</f>
        <v>14500000</v>
      </c>
      <c r="F7" s="83">
        <f>63/4*1000000</f>
        <v>15750000</v>
      </c>
      <c r="G7" s="83">
        <f>83/4*1000000</f>
        <v>20750000</v>
      </c>
      <c r="H7" s="83">
        <f>59/4*1000000</f>
        <v>14750000</v>
      </c>
      <c r="I7" s="206">
        <f>40/4*1000000</f>
        <v>10000000</v>
      </c>
      <c r="J7" s="96"/>
      <c r="K7" s="96"/>
      <c r="L7" s="96"/>
      <c r="M7" s="96"/>
      <c r="N7" s="96"/>
      <c r="O7" s="96"/>
      <c r="P7" s="83"/>
      <c r="Q7" s="83"/>
      <c r="R7" s="83"/>
      <c r="S7" s="83"/>
      <c r="T7" s="83"/>
      <c r="U7" s="83"/>
      <c r="V7" s="96"/>
      <c r="W7" s="98"/>
      <c r="X7" s="113"/>
      <c r="Y7" s="113"/>
      <c r="Z7" s="113"/>
      <c r="AA7" s="113"/>
      <c r="AB7" s="113"/>
      <c r="AC7" s="113"/>
      <c r="AD7" s="113"/>
      <c r="AE7" s="113"/>
      <c r="AF7" s="96"/>
      <c r="AG7" s="98"/>
      <c r="AH7" s="110"/>
      <c r="AI7" s="110"/>
      <c r="AJ7" s="110"/>
      <c r="AK7" s="110"/>
      <c r="AL7" s="110"/>
      <c r="AM7" s="110"/>
      <c r="AN7" s="110"/>
      <c r="AO7" s="110"/>
    </row>
    <row r="8" spans="2:41" x14ac:dyDescent="0.25">
      <c r="B8" s="199">
        <f>127/4*1000000</f>
        <v>31750000</v>
      </c>
      <c r="C8" s="165">
        <f>131/4*1000000</f>
        <v>32750000</v>
      </c>
      <c r="D8" s="83">
        <f>17/4*1000000</f>
        <v>4250000</v>
      </c>
      <c r="E8" s="83">
        <f>69/4*1000000</f>
        <v>17250000</v>
      </c>
      <c r="F8" s="83">
        <f>118/4*1000000</f>
        <v>29500000</v>
      </c>
      <c r="G8" s="83">
        <f>63/4*1000000</f>
        <v>15750000</v>
      </c>
      <c r="H8" s="83">
        <f>95/4*1000000</f>
        <v>23750000</v>
      </c>
      <c r="I8" s="206">
        <f>32/4*1000000</f>
        <v>8000000</v>
      </c>
      <c r="J8" s="96"/>
      <c r="K8" s="96"/>
      <c r="L8" s="96"/>
      <c r="M8" s="96"/>
      <c r="N8" s="96"/>
      <c r="O8" s="96"/>
      <c r="P8" s="83"/>
      <c r="Q8" s="83"/>
      <c r="R8" s="83"/>
      <c r="S8" s="83"/>
      <c r="T8" s="83"/>
      <c r="U8" s="83"/>
      <c r="V8" s="218"/>
      <c r="W8" s="98"/>
      <c r="X8" s="113"/>
      <c r="Y8" s="113"/>
      <c r="Z8" s="113"/>
      <c r="AA8" s="113"/>
      <c r="AB8" s="113"/>
      <c r="AC8" s="113"/>
      <c r="AD8" s="113"/>
      <c r="AE8" s="113"/>
      <c r="AF8" s="96"/>
      <c r="AG8" s="98"/>
      <c r="AH8" s="110"/>
      <c r="AI8" s="110"/>
      <c r="AJ8" s="110"/>
      <c r="AK8" s="110"/>
      <c r="AL8" s="110"/>
      <c r="AM8" s="110"/>
      <c r="AN8" s="110"/>
      <c r="AO8" s="110"/>
    </row>
    <row r="9" spans="2:41" x14ac:dyDescent="0.25">
      <c r="B9" s="199">
        <f>34/4*1000000</f>
        <v>8500000</v>
      </c>
      <c r="C9" s="165">
        <f>73/4*1000000</f>
        <v>18250000</v>
      </c>
      <c r="D9" s="83">
        <f>121/4*1000000</f>
        <v>30250000</v>
      </c>
      <c r="E9" s="83">
        <f>139/4*1000000</f>
        <v>34750000</v>
      </c>
      <c r="F9" s="83">
        <f>27/4*1000000</f>
        <v>6750000</v>
      </c>
      <c r="G9" s="83">
        <f>46/4*1000000</f>
        <v>11500000</v>
      </c>
      <c r="H9" s="83">
        <f>71/4*1000000</f>
        <v>17750000</v>
      </c>
      <c r="I9" s="206">
        <f>37/4*1000000</f>
        <v>9250000</v>
      </c>
      <c r="J9" s="96"/>
      <c r="K9" s="96"/>
      <c r="L9" s="96"/>
      <c r="M9" s="96"/>
      <c r="N9" s="96"/>
      <c r="O9" s="96"/>
      <c r="P9" s="83"/>
      <c r="Q9" s="83"/>
      <c r="R9" s="83"/>
      <c r="S9" s="83"/>
      <c r="T9" s="83"/>
      <c r="U9" s="83"/>
      <c r="V9" s="96"/>
      <c r="W9" s="98"/>
      <c r="X9" s="113"/>
      <c r="Y9" s="113"/>
      <c r="Z9" s="113"/>
      <c r="AA9" s="113"/>
      <c r="AB9" s="113"/>
      <c r="AC9" s="113"/>
      <c r="AD9" s="113"/>
      <c r="AE9" s="113"/>
      <c r="AF9" s="96"/>
      <c r="AG9" s="98"/>
      <c r="AH9" s="110"/>
      <c r="AI9" s="110"/>
      <c r="AJ9" s="110"/>
      <c r="AK9" s="110"/>
      <c r="AL9" s="110"/>
      <c r="AM9" s="110"/>
      <c r="AN9" s="110"/>
      <c r="AO9" s="110"/>
    </row>
    <row r="10" spans="2:41" x14ac:dyDescent="0.25">
      <c r="B10" s="199">
        <f>23/4*1000000</f>
        <v>5750000</v>
      </c>
      <c r="C10" s="165">
        <f>36/4*1000000</f>
        <v>9000000</v>
      </c>
      <c r="D10" s="83">
        <f>42/4*1000000</f>
        <v>10500000</v>
      </c>
      <c r="E10" s="83">
        <f>34/4*1000000</f>
        <v>8500000</v>
      </c>
      <c r="F10" s="83">
        <f>38/4*1000000</f>
        <v>9500000</v>
      </c>
      <c r="G10" s="83">
        <f>52/4*1000000</f>
        <v>13000000</v>
      </c>
      <c r="H10" s="83">
        <f>28/4*1000000</f>
        <v>7000000</v>
      </c>
      <c r="I10" s="206">
        <f>43/4*1000000</f>
        <v>10750000</v>
      </c>
      <c r="J10" s="96"/>
      <c r="K10" s="96"/>
      <c r="L10" s="96"/>
      <c r="M10" s="96"/>
      <c r="N10" s="96"/>
      <c r="O10" s="96"/>
      <c r="P10" s="83"/>
      <c r="Q10" s="83"/>
      <c r="R10" s="83"/>
      <c r="S10" s="83"/>
      <c r="T10" s="83"/>
      <c r="U10" s="83"/>
      <c r="V10" s="96"/>
      <c r="W10" s="98"/>
      <c r="X10" s="113"/>
      <c r="Y10" s="113"/>
      <c r="Z10" s="113"/>
      <c r="AA10" s="113"/>
      <c r="AB10" s="113"/>
      <c r="AC10" s="113"/>
      <c r="AD10" s="113"/>
      <c r="AE10" s="113"/>
      <c r="AF10" s="96"/>
      <c r="AG10" s="98"/>
      <c r="AH10" s="110"/>
      <c r="AI10" s="110"/>
      <c r="AJ10" s="110"/>
      <c r="AK10" s="110"/>
      <c r="AL10" s="110"/>
      <c r="AM10" s="110"/>
      <c r="AN10" s="110"/>
      <c r="AO10" s="110"/>
    </row>
    <row r="11" spans="2:41" x14ac:dyDescent="0.25">
      <c r="B11" s="199">
        <f>33/4*1000000</f>
        <v>8250000</v>
      </c>
      <c r="C11" s="165">
        <f>34/4*1000000</f>
        <v>8500000</v>
      </c>
      <c r="D11" s="83">
        <f>36/4*1000000</f>
        <v>9000000</v>
      </c>
      <c r="E11" s="83">
        <f>44/4*1000000</f>
        <v>11000000</v>
      </c>
      <c r="F11" s="83">
        <f>122/4*1000000</f>
        <v>30500000</v>
      </c>
      <c r="G11" s="83">
        <f>79/4*1000000</f>
        <v>19750000</v>
      </c>
      <c r="H11" s="83">
        <f>43/4*1000000</f>
        <v>10750000</v>
      </c>
      <c r="I11" s="206">
        <f>79/4*1000000</f>
        <v>19750000</v>
      </c>
      <c r="J11" s="96"/>
      <c r="K11" s="96"/>
      <c r="L11" s="96"/>
      <c r="M11" s="96"/>
      <c r="N11" s="96"/>
      <c r="O11" s="96"/>
      <c r="P11" s="83"/>
      <c r="Q11" s="83"/>
      <c r="R11" s="83"/>
      <c r="S11" s="83"/>
      <c r="T11" s="83"/>
      <c r="U11" s="83"/>
      <c r="V11" s="96"/>
      <c r="W11" s="98"/>
      <c r="X11" s="113"/>
      <c r="Y11" s="113"/>
      <c r="Z11" s="113"/>
      <c r="AA11" s="113"/>
      <c r="AB11" s="113"/>
      <c r="AC11" s="113"/>
      <c r="AD11" s="113"/>
      <c r="AE11" s="113"/>
      <c r="AF11" s="96"/>
      <c r="AG11" s="98"/>
      <c r="AH11" s="110"/>
      <c r="AI11" s="110"/>
      <c r="AJ11" s="110"/>
      <c r="AK11" s="110"/>
      <c r="AL11" s="110"/>
      <c r="AM11" s="110"/>
      <c r="AN11" s="110"/>
      <c r="AO11" s="110"/>
    </row>
    <row r="12" spans="2:41" x14ac:dyDescent="0.25">
      <c r="B12" s="199">
        <f>171/4*1000000</f>
        <v>42750000</v>
      </c>
      <c r="C12" s="165">
        <f>147/4*1000000</f>
        <v>36750000</v>
      </c>
      <c r="D12" s="83">
        <f>88/4*1000000</f>
        <v>22000000</v>
      </c>
      <c r="E12" s="83">
        <f>61/4*1000000</f>
        <v>15250000</v>
      </c>
      <c r="F12" s="83">
        <f>43/4*1000000</f>
        <v>10750000</v>
      </c>
      <c r="G12" s="83">
        <f>36/4*1000000</f>
        <v>9000000</v>
      </c>
      <c r="H12" s="83">
        <f>39/4*1000000</f>
        <v>9750000</v>
      </c>
      <c r="I12" s="206">
        <f>25/4*1000000</f>
        <v>6250000</v>
      </c>
      <c r="J12" s="96"/>
      <c r="K12" s="96"/>
      <c r="L12" s="96"/>
      <c r="M12" s="96"/>
      <c r="N12" s="96"/>
      <c r="O12" s="96"/>
      <c r="P12" s="83"/>
      <c r="Q12" s="83"/>
      <c r="R12" s="83"/>
      <c r="S12" s="83"/>
      <c r="T12" s="83"/>
      <c r="U12" s="83"/>
      <c r="V12" s="96"/>
      <c r="W12" s="98"/>
      <c r="X12" s="113"/>
      <c r="Y12" s="113"/>
      <c r="Z12" s="113"/>
      <c r="AA12" s="113"/>
      <c r="AB12" s="113"/>
      <c r="AC12" s="113"/>
      <c r="AD12" s="113"/>
      <c r="AE12" s="113"/>
      <c r="AF12" s="96"/>
      <c r="AG12" s="98"/>
      <c r="AH12" s="110"/>
      <c r="AI12" s="110"/>
      <c r="AJ12" s="110"/>
      <c r="AK12" s="110"/>
      <c r="AL12" s="110"/>
      <c r="AM12" s="110"/>
      <c r="AN12" s="110"/>
      <c r="AO12" s="110"/>
    </row>
    <row r="13" spans="2:41" x14ac:dyDescent="0.25">
      <c r="B13" s="199">
        <f>48/4*1000000</f>
        <v>12000000</v>
      </c>
      <c r="C13" s="165">
        <f>171/4*1000000</f>
        <v>42750000</v>
      </c>
      <c r="D13" s="219"/>
      <c r="E13" s="83">
        <f>71/4*1000000</f>
        <v>17750000</v>
      </c>
      <c r="F13" s="83">
        <v>20750000</v>
      </c>
      <c r="G13" s="83">
        <f>49/4*1000000</f>
        <v>12250000</v>
      </c>
      <c r="H13" s="83">
        <f>33/4*1000000</f>
        <v>8250000</v>
      </c>
      <c r="I13" s="206">
        <f>20/4*1000000</f>
        <v>5000000</v>
      </c>
      <c r="J13" s="96"/>
      <c r="K13" s="96"/>
      <c r="L13" s="96"/>
      <c r="M13" s="96"/>
      <c r="N13" s="96"/>
      <c r="O13" s="96"/>
      <c r="P13" s="83"/>
      <c r="Q13" s="83"/>
      <c r="R13" s="83"/>
      <c r="S13" s="83"/>
      <c r="T13" s="83"/>
      <c r="U13" s="83"/>
      <c r="V13" s="96"/>
      <c r="W13" s="98"/>
      <c r="X13" s="113"/>
      <c r="Y13" s="113"/>
      <c r="Z13" s="113"/>
      <c r="AA13" s="113"/>
      <c r="AB13" s="113"/>
      <c r="AC13" s="113"/>
      <c r="AD13" s="113"/>
      <c r="AE13" s="113"/>
      <c r="AF13" s="96"/>
      <c r="AG13" s="98"/>
      <c r="AH13" s="110"/>
      <c r="AI13" s="110"/>
      <c r="AJ13" s="110"/>
      <c r="AK13" s="110"/>
      <c r="AL13" s="110"/>
      <c r="AM13" s="110"/>
      <c r="AN13" s="110"/>
      <c r="AO13" s="110"/>
    </row>
    <row r="14" spans="2:41" x14ac:dyDescent="0.25">
      <c r="B14" s="199">
        <f>106/4*1000000</f>
        <v>26500000</v>
      </c>
      <c r="C14" s="165">
        <f>32/4*1000000</f>
        <v>8000000</v>
      </c>
      <c r="D14" s="165">
        <f>57/4*1000000</f>
        <v>14250000</v>
      </c>
      <c r="E14" s="165">
        <f>163/4*1000000</f>
        <v>40750000</v>
      </c>
      <c r="F14" s="165">
        <f>57/4*1000000</f>
        <v>14250000</v>
      </c>
      <c r="G14" s="165">
        <f>73/4*1000000</f>
        <v>18250000</v>
      </c>
      <c r="H14" s="165">
        <f>113/4*1000000</f>
        <v>28250000</v>
      </c>
      <c r="I14" s="147">
        <f>24/4*1000000</f>
        <v>6000000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8"/>
      <c r="X14" s="113"/>
      <c r="Y14" s="113"/>
      <c r="Z14" s="113"/>
      <c r="AA14" s="113"/>
      <c r="AB14" s="113"/>
      <c r="AC14" s="113"/>
      <c r="AD14" s="113"/>
      <c r="AE14" s="113"/>
      <c r="AF14" s="96"/>
      <c r="AG14" s="98"/>
      <c r="AH14" s="110"/>
      <c r="AI14" s="110"/>
      <c r="AJ14" s="110"/>
      <c r="AK14" s="110"/>
      <c r="AL14" s="110"/>
      <c r="AM14" s="110"/>
      <c r="AN14" s="110"/>
      <c r="AO14" s="110"/>
    </row>
    <row r="15" spans="2:41" x14ac:dyDescent="0.25">
      <c r="B15" s="199">
        <f>78/4*1000000</f>
        <v>19500000</v>
      </c>
      <c r="C15" s="165">
        <f>39/4*1000000</f>
        <v>9750000</v>
      </c>
      <c r="D15" s="165">
        <f>29/4*1000000</f>
        <v>7250000</v>
      </c>
      <c r="E15" s="165">
        <f>161/4*1000000</f>
        <v>40250000</v>
      </c>
      <c r="F15" s="165">
        <f>128/4*1000000</f>
        <v>32000000</v>
      </c>
      <c r="G15" s="128"/>
      <c r="H15" s="165">
        <f>83/4*1000000</f>
        <v>20750000</v>
      </c>
      <c r="I15" s="147">
        <f>83/4*1000000</f>
        <v>20750000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8"/>
      <c r="X15" s="113"/>
      <c r="Y15" s="113"/>
      <c r="Z15" s="165"/>
      <c r="AA15" s="113"/>
      <c r="AB15" s="113"/>
      <c r="AC15" s="165"/>
      <c r="AD15" s="113"/>
      <c r="AE15" s="113"/>
      <c r="AF15" s="96"/>
      <c r="AG15" s="98"/>
      <c r="AH15" s="110"/>
      <c r="AI15" s="110"/>
      <c r="AJ15" s="110"/>
      <c r="AK15" s="110"/>
      <c r="AL15" s="110"/>
      <c r="AM15" s="110"/>
      <c r="AN15" s="110"/>
      <c r="AO15" s="110"/>
    </row>
    <row r="16" spans="2:41" x14ac:dyDescent="0.25">
      <c r="B16" s="199">
        <f>98/4*1000000</f>
        <v>24500000</v>
      </c>
      <c r="C16" s="165">
        <f>147/4*1000000</f>
        <v>36750000</v>
      </c>
      <c r="D16" s="165">
        <f>104/4*1000000</f>
        <v>26000000</v>
      </c>
      <c r="E16" s="165">
        <f>155/4*1000000</f>
        <v>38750000</v>
      </c>
      <c r="F16" s="165">
        <f>66/4*1000000</f>
        <v>16500000</v>
      </c>
      <c r="G16" s="165">
        <f>203/4*1000000</f>
        <v>50750000</v>
      </c>
      <c r="H16" s="165">
        <f>136/4*1000000</f>
        <v>34000000</v>
      </c>
      <c r="I16" s="147">
        <f>67/4*1000000</f>
        <v>16750000</v>
      </c>
      <c r="J16" s="96"/>
      <c r="K16" s="165"/>
      <c r="L16" s="83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8"/>
      <c r="X16" s="113"/>
      <c r="Y16" s="113"/>
      <c r="Z16" s="165"/>
      <c r="AA16" s="165"/>
      <c r="AB16" s="165"/>
      <c r="AC16" s="165"/>
      <c r="AD16" s="165"/>
      <c r="AE16" s="165"/>
      <c r="AF16" s="96"/>
      <c r="AG16" s="98"/>
      <c r="AH16" s="110"/>
      <c r="AI16" s="110"/>
      <c r="AJ16" s="110"/>
      <c r="AK16" s="110"/>
      <c r="AL16" s="110"/>
      <c r="AM16" s="110"/>
      <c r="AN16" s="110"/>
      <c r="AO16" s="110"/>
    </row>
    <row r="17" spans="2:41" x14ac:dyDescent="0.25">
      <c r="B17" s="199">
        <f>75/4*1000000</f>
        <v>18750000</v>
      </c>
      <c r="C17" s="165">
        <f>30/4*1000000</f>
        <v>7500000</v>
      </c>
      <c r="D17" s="165">
        <f>114/4*1000000</f>
        <v>28500000</v>
      </c>
      <c r="E17" s="165">
        <f>122/4*1000000</f>
        <v>30500000</v>
      </c>
      <c r="F17" s="165">
        <f>83/4*1000000</f>
        <v>20750000</v>
      </c>
      <c r="G17" s="165">
        <f>70/4*1000000</f>
        <v>17500000</v>
      </c>
      <c r="H17" s="165">
        <f>39/4*1000000</f>
        <v>9750000</v>
      </c>
      <c r="I17" s="147">
        <f>126/4*1000000</f>
        <v>31500000</v>
      </c>
      <c r="J17" s="96"/>
      <c r="K17" s="83"/>
      <c r="L17" s="83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8"/>
      <c r="X17" s="113"/>
      <c r="Y17" s="113"/>
      <c r="Z17" s="165"/>
      <c r="AA17" s="165"/>
      <c r="AB17" s="165"/>
      <c r="AC17" s="165"/>
      <c r="AD17" s="165"/>
      <c r="AE17" s="165"/>
      <c r="AF17" s="96"/>
      <c r="AG17" s="98"/>
      <c r="AH17" s="110"/>
      <c r="AI17" s="110"/>
      <c r="AJ17" s="110"/>
      <c r="AK17" s="110"/>
      <c r="AL17" s="110"/>
      <c r="AM17" s="110"/>
      <c r="AN17" s="110"/>
      <c r="AO17" s="110"/>
    </row>
    <row r="18" spans="2:41" x14ac:dyDescent="0.25">
      <c r="B18" s="199">
        <f>112/4*1000000</f>
        <v>28000000</v>
      </c>
      <c r="C18" s="165">
        <f>47/4*1000000</f>
        <v>11750000</v>
      </c>
      <c r="D18" s="165">
        <f>42/4*1000000</f>
        <v>10500000</v>
      </c>
      <c r="E18" s="165">
        <f>114/4*1000000</f>
        <v>28500000</v>
      </c>
      <c r="F18" s="165">
        <f>65/4*1000000</f>
        <v>16250000</v>
      </c>
      <c r="G18" s="165">
        <f>79/4*1000000</f>
        <v>19750000</v>
      </c>
      <c r="H18" s="165">
        <f>50/4*1000000</f>
        <v>12500000</v>
      </c>
      <c r="I18" s="147">
        <f>120/4*1000000</f>
        <v>30000000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8"/>
      <c r="X18" s="113"/>
      <c r="Y18" s="113"/>
      <c r="Z18" s="113"/>
      <c r="AA18" s="165"/>
      <c r="AB18" s="165"/>
      <c r="AC18" s="113"/>
      <c r="AD18" s="165"/>
      <c r="AE18" s="165"/>
      <c r="AF18" s="96"/>
      <c r="AG18" s="98"/>
      <c r="AH18" s="110"/>
      <c r="AI18" s="110"/>
      <c r="AJ18" s="110"/>
      <c r="AK18" s="110"/>
      <c r="AL18" s="110"/>
      <c r="AM18" s="110"/>
      <c r="AN18" s="110"/>
      <c r="AO18" s="110"/>
    </row>
    <row r="19" spans="2:41" x14ac:dyDescent="0.25">
      <c r="B19" s="199">
        <f>81/4*1000000</f>
        <v>20250000</v>
      </c>
      <c r="C19" s="165">
        <f>107/4*1000000</f>
        <v>26750000</v>
      </c>
      <c r="D19" s="165">
        <f>95/4*1000000</f>
        <v>23750000</v>
      </c>
      <c r="E19" s="165">
        <f>32/4*1000000</f>
        <v>8000000</v>
      </c>
      <c r="F19" s="165">
        <f>72/4*1000000</f>
        <v>18000000</v>
      </c>
      <c r="G19" s="165">
        <f>62/4*1000000</f>
        <v>15500000</v>
      </c>
      <c r="H19" s="165">
        <f>16/4*1000000</f>
        <v>4000000</v>
      </c>
      <c r="I19" s="147">
        <f>24/4*1000000</f>
        <v>6000000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8"/>
      <c r="X19" s="113"/>
      <c r="Y19" s="113"/>
      <c r="Z19" s="113"/>
      <c r="AA19" s="113"/>
      <c r="AB19" s="113"/>
      <c r="AC19" s="113"/>
      <c r="AD19" s="113"/>
      <c r="AE19" s="113"/>
      <c r="AF19" s="96"/>
      <c r="AG19" s="98"/>
      <c r="AH19" s="110"/>
      <c r="AI19" s="110"/>
      <c r="AJ19" s="110"/>
      <c r="AK19" s="110"/>
      <c r="AL19" s="110"/>
      <c r="AM19" s="110"/>
      <c r="AN19" s="110"/>
      <c r="AO19" s="110"/>
    </row>
    <row r="20" spans="2:41" x14ac:dyDescent="0.25">
      <c r="B20" s="199">
        <f>92/4*1000000</f>
        <v>23000000</v>
      </c>
      <c r="C20" s="165">
        <f>55/4*1000000</f>
        <v>13750000</v>
      </c>
      <c r="D20" s="165">
        <f>86/4*1000000</f>
        <v>21500000</v>
      </c>
      <c r="E20" s="165">
        <f>68/4*1000000</f>
        <v>17000000</v>
      </c>
      <c r="F20" s="165">
        <f>53/4*1000000</f>
        <v>13250000</v>
      </c>
      <c r="G20" s="165">
        <f>109/4*1000000</f>
        <v>27250000</v>
      </c>
      <c r="H20" s="165">
        <f>30/4*1000000</f>
        <v>7500000</v>
      </c>
      <c r="I20" s="147">
        <f>98/4*1000000</f>
        <v>24500000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8"/>
      <c r="X20" s="113"/>
      <c r="Y20" s="113"/>
      <c r="Z20" s="113"/>
      <c r="AA20" s="113"/>
      <c r="AB20" s="113"/>
      <c r="AC20" s="113"/>
      <c r="AD20" s="113"/>
      <c r="AE20" s="113"/>
      <c r="AF20" s="96"/>
      <c r="AG20" s="98"/>
      <c r="AH20" s="110"/>
      <c r="AI20" s="110"/>
      <c r="AJ20" s="110"/>
      <c r="AK20" s="110"/>
      <c r="AL20" s="110"/>
      <c r="AM20" s="110"/>
      <c r="AN20" s="110"/>
      <c r="AO20" s="110"/>
    </row>
    <row r="21" spans="2:41" x14ac:dyDescent="0.25">
      <c r="B21" s="199">
        <f>62/4*1000000</f>
        <v>15500000</v>
      </c>
      <c r="C21" s="165">
        <f>64/4*1000000</f>
        <v>16000000</v>
      </c>
      <c r="D21" s="165">
        <f>110/4*1000000</f>
        <v>27500000</v>
      </c>
      <c r="E21" s="165">
        <f>54/4*1000000</f>
        <v>13500000</v>
      </c>
      <c r="F21" s="165">
        <f>42/4*1000000</f>
        <v>10500000</v>
      </c>
      <c r="G21" s="165">
        <f>73/4*1000000</f>
        <v>18250000</v>
      </c>
      <c r="H21" s="165">
        <f>116/4*1000000</f>
        <v>29000000</v>
      </c>
      <c r="I21" s="147">
        <f>52/4*1000000</f>
        <v>13000000</v>
      </c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8"/>
      <c r="X21" s="113"/>
      <c r="Y21" s="113"/>
      <c r="Z21" s="113"/>
      <c r="AA21" s="113"/>
      <c r="AB21" s="113"/>
      <c r="AC21" s="113"/>
      <c r="AD21" s="113"/>
      <c r="AE21" s="113"/>
      <c r="AF21" s="96"/>
      <c r="AG21" s="98"/>
      <c r="AH21" s="110"/>
      <c r="AI21" s="110"/>
      <c r="AJ21" s="110"/>
      <c r="AK21" s="110"/>
      <c r="AL21" s="110"/>
      <c r="AM21" s="110"/>
      <c r="AN21" s="110"/>
      <c r="AO21" s="110"/>
    </row>
    <row r="22" spans="2:41" x14ac:dyDescent="0.25">
      <c r="B22" s="199">
        <f>20/4*1000000</f>
        <v>5000000</v>
      </c>
      <c r="C22" s="165">
        <f>72/4*1000000</f>
        <v>18000000</v>
      </c>
      <c r="D22" s="165">
        <f>83/4*1000000</f>
        <v>20750000</v>
      </c>
      <c r="E22" s="165">
        <f>11/4*1000000</f>
        <v>2750000</v>
      </c>
      <c r="F22" s="165">
        <f>37/4*1000000</f>
        <v>9250000</v>
      </c>
      <c r="G22" s="165">
        <f>106/4*1000000</f>
        <v>26500000</v>
      </c>
      <c r="H22" s="165">
        <f>85/4*1000000</f>
        <v>21250000</v>
      </c>
      <c r="I22" s="147">
        <f>37/4*1000000</f>
        <v>9250000</v>
      </c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8"/>
      <c r="X22" s="113"/>
      <c r="Y22" s="113"/>
      <c r="Z22" s="113"/>
      <c r="AA22" s="113"/>
      <c r="AB22" s="113"/>
      <c r="AC22" s="113"/>
      <c r="AD22" s="113"/>
      <c r="AE22" s="113"/>
      <c r="AF22" s="96"/>
      <c r="AG22" s="98"/>
      <c r="AH22" s="110"/>
      <c r="AI22" s="110"/>
      <c r="AJ22" s="110"/>
      <c r="AK22" s="110"/>
      <c r="AL22" s="110"/>
      <c r="AM22" s="110"/>
      <c r="AN22" s="110"/>
      <c r="AO22" s="110"/>
    </row>
    <row r="23" spans="2:41" x14ac:dyDescent="0.25">
      <c r="B23" s="205">
        <f>70/4*1000000</f>
        <v>17500000</v>
      </c>
      <c r="C23" s="148">
        <f>46/4*1000000</f>
        <v>11500000</v>
      </c>
      <c r="D23" s="148">
        <f>115/4*1000000</f>
        <v>28750000</v>
      </c>
      <c r="E23" s="148">
        <f>31/4*1000000</f>
        <v>7750000</v>
      </c>
      <c r="F23" s="148">
        <f>14/4*1000000</f>
        <v>3500000</v>
      </c>
      <c r="G23" s="148">
        <f>85/4*1000000</f>
        <v>21250000</v>
      </c>
      <c r="H23" s="148">
        <f>11/4*1000000</f>
        <v>2750000</v>
      </c>
      <c r="I23" s="149">
        <f>15/4*1000000</f>
        <v>3750000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8"/>
      <c r="X23" s="113"/>
      <c r="Y23" s="113"/>
      <c r="Z23" s="96"/>
      <c r="AA23" s="113"/>
      <c r="AB23" s="113"/>
      <c r="AC23" s="96"/>
      <c r="AD23" s="113"/>
      <c r="AE23" s="113"/>
      <c r="AF23" s="96"/>
      <c r="AG23" s="98"/>
      <c r="AH23" s="110"/>
      <c r="AI23" s="110"/>
      <c r="AJ23" s="110"/>
      <c r="AK23" s="110"/>
      <c r="AL23" s="110"/>
      <c r="AM23" s="110"/>
      <c r="AN23" s="110"/>
      <c r="AO23" s="110"/>
    </row>
    <row r="24" spans="2:41" x14ac:dyDescent="0.25">
      <c r="B24" s="96"/>
      <c r="C24" s="96"/>
      <c r="D24" s="96"/>
      <c r="E24" s="96"/>
      <c r="J24" s="96"/>
      <c r="K24" s="165"/>
      <c r="L24" s="83"/>
      <c r="M24" s="96"/>
      <c r="N24" s="96"/>
      <c r="O24" s="96"/>
      <c r="P24" s="165"/>
      <c r="Q24" s="165"/>
      <c r="R24" s="165"/>
      <c r="S24" s="165"/>
      <c r="T24" s="165"/>
      <c r="U24" s="165"/>
      <c r="V24" s="96"/>
      <c r="W24" s="98"/>
      <c r="X24" s="99"/>
      <c r="Y24" s="99"/>
      <c r="Z24" s="96"/>
      <c r="AA24" s="96"/>
      <c r="AB24" s="96"/>
      <c r="AC24" s="96"/>
      <c r="AD24" s="96"/>
      <c r="AE24" s="96"/>
      <c r="AF24" s="96"/>
      <c r="AG24" s="98"/>
      <c r="AH24" s="110"/>
      <c r="AI24" s="110"/>
      <c r="AJ24" s="110"/>
      <c r="AK24" s="110"/>
      <c r="AL24" s="110"/>
      <c r="AM24" s="110"/>
      <c r="AN24" s="110"/>
      <c r="AO24" s="110"/>
    </row>
    <row r="25" spans="2:41" x14ac:dyDescent="0.25">
      <c r="B25" s="96"/>
      <c r="C25" s="165"/>
      <c r="D25" s="96"/>
      <c r="E25" s="96"/>
      <c r="J25" s="96"/>
      <c r="K25" s="83"/>
      <c r="L25" s="83"/>
      <c r="M25" s="96"/>
      <c r="N25" s="96"/>
      <c r="O25" s="96"/>
      <c r="P25" s="165"/>
      <c r="Q25" s="165"/>
      <c r="R25" s="165"/>
      <c r="S25" s="165"/>
      <c r="T25" s="165"/>
      <c r="U25" s="165"/>
      <c r="V25" s="96"/>
      <c r="W25" s="98"/>
      <c r="X25" s="99"/>
      <c r="Y25" s="99"/>
      <c r="Z25" s="96"/>
      <c r="AA25" s="96"/>
      <c r="AB25" s="96"/>
      <c r="AC25" s="96"/>
      <c r="AD25" s="96"/>
      <c r="AE25" s="96"/>
      <c r="AF25" s="96"/>
      <c r="AG25" s="98"/>
      <c r="AH25" s="110"/>
      <c r="AI25" s="110"/>
      <c r="AJ25" s="110"/>
      <c r="AK25" s="110"/>
      <c r="AL25" s="110"/>
      <c r="AM25" s="110"/>
      <c r="AN25" s="110"/>
      <c r="AO25" s="110"/>
    </row>
    <row r="26" spans="2:41" x14ac:dyDescent="0.25">
      <c r="B26" s="165"/>
      <c r="C26" s="96"/>
      <c r="D26" s="96"/>
      <c r="E26" s="96"/>
      <c r="J26" s="96"/>
      <c r="K26" s="96"/>
      <c r="L26" s="96"/>
      <c r="M26" s="96"/>
      <c r="N26" s="96"/>
      <c r="O26" s="96"/>
      <c r="P26" s="165"/>
      <c r="Q26" s="165"/>
      <c r="R26" s="165"/>
      <c r="S26" s="165"/>
      <c r="T26" s="165"/>
      <c r="U26" s="165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115"/>
      <c r="AH26" s="115"/>
      <c r="AI26" s="115"/>
      <c r="AJ26" s="115"/>
      <c r="AK26" s="115"/>
      <c r="AL26" s="115"/>
      <c r="AM26" s="115"/>
      <c r="AN26" s="115"/>
      <c r="AO26" s="115"/>
    </row>
    <row r="27" spans="2:41" x14ac:dyDescent="0.25">
      <c r="B27" s="96"/>
      <c r="C27" s="96"/>
      <c r="D27" s="96"/>
      <c r="E27" s="96"/>
      <c r="J27" s="96"/>
      <c r="K27" s="96"/>
      <c r="L27" s="96"/>
      <c r="M27" s="96"/>
      <c r="N27" s="96"/>
      <c r="O27" s="96"/>
      <c r="P27" s="165"/>
      <c r="Q27" s="165"/>
      <c r="R27" s="165"/>
      <c r="S27" s="165"/>
      <c r="T27" s="165"/>
      <c r="U27" s="165"/>
      <c r="V27" s="96"/>
      <c r="W27" s="98"/>
      <c r="X27" s="25"/>
      <c r="AG27" s="98"/>
      <c r="AH27" s="99"/>
      <c r="AI27" s="96"/>
      <c r="AJ27" s="96"/>
      <c r="AK27" s="96"/>
      <c r="AL27" s="96"/>
      <c r="AM27" s="96"/>
      <c r="AN27" s="96"/>
      <c r="AO27" s="96"/>
    </row>
    <row r="28" spans="2:41" x14ac:dyDescent="0.25">
      <c r="B28" s="165"/>
      <c r="C28" s="96"/>
      <c r="D28" s="96"/>
      <c r="E28" s="96"/>
      <c r="J28" s="96"/>
      <c r="K28" s="96"/>
      <c r="L28" s="96"/>
      <c r="M28" s="96"/>
      <c r="N28" s="96"/>
      <c r="O28" s="96"/>
      <c r="P28" s="165"/>
      <c r="Q28" s="165"/>
      <c r="R28" s="165"/>
      <c r="S28" s="165"/>
      <c r="T28" s="165"/>
      <c r="U28" s="165"/>
      <c r="V28" s="96"/>
      <c r="W28" s="98"/>
      <c r="X28" s="25"/>
      <c r="AG28" s="98"/>
      <c r="AH28" s="99"/>
      <c r="AI28" s="96"/>
      <c r="AJ28" s="96"/>
      <c r="AK28" s="96"/>
      <c r="AL28" s="96"/>
      <c r="AM28" s="96"/>
      <c r="AN28" s="96"/>
      <c r="AO28" s="96"/>
    </row>
    <row r="29" spans="2:41" x14ac:dyDescent="0.25">
      <c r="B29" s="96"/>
      <c r="C29" s="165"/>
      <c r="D29" s="96"/>
      <c r="E29" s="96"/>
      <c r="J29" s="96"/>
      <c r="K29" s="165"/>
      <c r="L29" s="83"/>
      <c r="M29" s="96"/>
      <c r="N29" s="96"/>
      <c r="O29" s="96"/>
      <c r="P29" s="165"/>
      <c r="Q29" s="165"/>
      <c r="R29" s="165"/>
      <c r="S29" s="165"/>
      <c r="T29" s="165"/>
      <c r="U29" s="165"/>
      <c r="V29" s="96"/>
      <c r="W29" s="98"/>
      <c r="X29" s="25"/>
      <c r="AG29" s="98"/>
      <c r="AH29" s="99"/>
      <c r="AI29" s="96"/>
      <c r="AJ29" s="96"/>
      <c r="AK29" s="96"/>
      <c r="AL29" s="96"/>
      <c r="AM29" s="96"/>
      <c r="AN29" s="96"/>
      <c r="AO29" s="96"/>
    </row>
    <row r="30" spans="2:41" x14ac:dyDescent="0.25">
      <c r="B30" s="96"/>
      <c r="C30" s="96"/>
      <c r="D30" s="96"/>
      <c r="E30" s="96"/>
      <c r="J30" s="96"/>
      <c r="K30" s="83"/>
      <c r="L30" s="83"/>
      <c r="M30" s="96"/>
      <c r="N30" s="96"/>
      <c r="O30" s="96"/>
      <c r="P30" s="165"/>
      <c r="Q30" s="165"/>
      <c r="R30" s="165"/>
      <c r="S30" s="165"/>
      <c r="T30" s="165"/>
      <c r="U30" s="165"/>
      <c r="V30" s="96"/>
      <c r="W30" s="98"/>
      <c r="X30" s="25"/>
      <c r="AG30" s="98"/>
      <c r="AH30" s="99"/>
      <c r="AI30" s="96"/>
      <c r="AJ30" s="96"/>
      <c r="AK30" s="96"/>
      <c r="AL30" s="96"/>
      <c r="AM30" s="96"/>
      <c r="AN30" s="96"/>
      <c r="AO30" s="96"/>
    </row>
    <row r="31" spans="2:41" x14ac:dyDescent="0.25">
      <c r="B31" s="96"/>
      <c r="C31" s="96"/>
      <c r="D31" s="96"/>
      <c r="E31" s="96"/>
      <c r="J31" s="96"/>
      <c r="K31" s="96"/>
      <c r="L31" s="96"/>
      <c r="M31" s="96"/>
      <c r="N31" s="96"/>
      <c r="O31" s="96"/>
      <c r="P31" s="165"/>
      <c r="Q31" s="165"/>
      <c r="R31" s="165"/>
      <c r="S31" s="165"/>
      <c r="T31" s="165"/>
      <c r="U31" s="165"/>
      <c r="V31" s="96"/>
      <c r="W31" s="98"/>
      <c r="X31" s="25"/>
      <c r="AG31" s="98"/>
      <c r="AH31" s="99"/>
      <c r="AI31" s="96"/>
      <c r="AJ31" s="96"/>
      <c r="AK31" s="96"/>
      <c r="AL31" s="96"/>
      <c r="AM31" s="96"/>
      <c r="AN31" s="96"/>
      <c r="AO31" s="96"/>
    </row>
    <row r="32" spans="2:41" x14ac:dyDescent="0.25">
      <c r="B32" s="165"/>
      <c r="C32" s="165"/>
      <c r="D32" s="96"/>
      <c r="E32" s="96"/>
      <c r="J32" s="96"/>
      <c r="K32" s="96"/>
      <c r="L32" s="96"/>
      <c r="M32" s="96"/>
      <c r="N32" s="96"/>
      <c r="O32" s="96"/>
      <c r="P32" s="165"/>
      <c r="Q32" s="165"/>
      <c r="R32" s="165"/>
      <c r="S32" s="165"/>
      <c r="T32" s="165"/>
      <c r="U32" s="165"/>
      <c r="V32" s="96"/>
      <c r="W32" s="98"/>
      <c r="X32" s="25"/>
      <c r="AG32" s="98"/>
      <c r="AH32" s="99"/>
      <c r="AI32" s="96"/>
      <c r="AJ32" s="96"/>
      <c r="AK32" s="96"/>
      <c r="AL32" s="96"/>
      <c r="AM32" s="96"/>
      <c r="AN32" s="96"/>
      <c r="AO32" s="96"/>
    </row>
    <row r="33" spans="2:41" x14ac:dyDescent="0.25">
      <c r="B33" s="96"/>
      <c r="C33" s="165"/>
      <c r="D33" s="96"/>
      <c r="E33" s="96"/>
      <c r="J33" s="96"/>
      <c r="K33" s="96"/>
      <c r="L33" s="96"/>
      <c r="M33" s="96"/>
      <c r="N33" s="96"/>
      <c r="O33" s="96"/>
      <c r="P33" s="165"/>
      <c r="Q33" s="165"/>
      <c r="R33" s="165"/>
      <c r="S33" s="165"/>
      <c r="T33" s="165"/>
      <c r="U33" s="165"/>
      <c r="V33" s="96"/>
      <c r="W33" s="98"/>
      <c r="X33" s="25"/>
      <c r="AG33" s="98"/>
      <c r="AH33" s="99"/>
      <c r="AI33" s="96"/>
      <c r="AJ33" s="96"/>
      <c r="AK33" s="96"/>
      <c r="AL33" s="96"/>
      <c r="AM33" s="96"/>
      <c r="AN33" s="96"/>
      <c r="AO33" s="96"/>
    </row>
    <row r="34" spans="2:41" x14ac:dyDescent="0.25">
      <c r="J34" s="96"/>
      <c r="K34" s="96"/>
      <c r="L34" s="96"/>
      <c r="M34" s="96"/>
      <c r="N34" s="165"/>
      <c r="O34" s="165"/>
      <c r="P34" s="165"/>
      <c r="Q34" s="165"/>
      <c r="R34" s="165"/>
      <c r="S34" s="165"/>
      <c r="T34" s="165"/>
      <c r="U34" s="165"/>
      <c r="V34" s="96"/>
      <c r="W34" s="98"/>
      <c r="X34" s="25"/>
      <c r="AG34" s="98"/>
      <c r="AH34" s="99"/>
      <c r="AI34" s="96"/>
      <c r="AJ34" s="96"/>
      <c r="AK34" s="96"/>
      <c r="AL34" s="96"/>
      <c r="AM34" s="96"/>
      <c r="AN34" s="96"/>
      <c r="AO34" s="96"/>
    </row>
    <row r="35" spans="2:41" x14ac:dyDescent="0.25"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8"/>
      <c r="X35" s="25"/>
      <c r="AG35" s="98"/>
      <c r="AH35" s="99"/>
      <c r="AI35" s="96"/>
      <c r="AJ35" s="96"/>
      <c r="AK35" s="96"/>
      <c r="AL35" s="96"/>
      <c r="AM35" s="96"/>
      <c r="AN35" s="96"/>
      <c r="AO35" s="96"/>
    </row>
    <row r="36" spans="2:41" x14ac:dyDescent="0.25">
      <c r="W36" s="35"/>
      <c r="X36" s="25"/>
      <c r="AG36" s="98"/>
      <c r="AH36" s="99"/>
      <c r="AI36" s="96"/>
      <c r="AJ36" s="96"/>
      <c r="AK36" s="96"/>
      <c r="AL36" s="96"/>
      <c r="AM36" s="96"/>
      <c r="AN36" s="96"/>
      <c r="AO36" s="96"/>
    </row>
    <row r="37" spans="2:41" x14ac:dyDescent="0.25">
      <c r="W37" s="35"/>
      <c r="X37" s="25"/>
      <c r="AG37" s="98"/>
      <c r="AH37" s="99"/>
      <c r="AI37" s="96"/>
      <c r="AJ37" s="96"/>
      <c r="AK37" s="96"/>
      <c r="AL37" s="96"/>
      <c r="AM37" s="96"/>
      <c r="AN37" s="96"/>
      <c r="AO37" s="96"/>
    </row>
    <row r="38" spans="2:41" x14ac:dyDescent="0.25">
      <c r="W38" s="35"/>
      <c r="X38" s="25"/>
      <c r="AG38" s="98"/>
      <c r="AH38" s="99"/>
      <c r="AI38" s="96"/>
      <c r="AJ38" s="96"/>
      <c r="AK38" s="96"/>
      <c r="AL38" s="96"/>
      <c r="AM38" s="96"/>
      <c r="AN38" s="96"/>
      <c r="AO38" s="96"/>
    </row>
    <row r="39" spans="2:41" x14ac:dyDescent="0.25">
      <c r="W39" s="35"/>
      <c r="X39" s="25"/>
      <c r="AG39" s="98"/>
      <c r="AH39" s="99"/>
      <c r="AI39" s="96"/>
      <c r="AJ39" s="96"/>
      <c r="AK39" s="96"/>
      <c r="AL39" s="96"/>
      <c r="AM39" s="96"/>
      <c r="AN39" s="96"/>
      <c r="AO39" s="96"/>
    </row>
    <row r="40" spans="2:41" x14ac:dyDescent="0.25">
      <c r="W40" s="35"/>
      <c r="X40" s="25"/>
      <c r="Y40" s="25"/>
      <c r="Z40" s="25"/>
      <c r="AA40" s="25"/>
      <c r="AB40" s="25"/>
    </row>
    <row r="41" spans="2:41" x14ac:dyDescent="0.25">
      <c r="W41" s="35"/>
      <c r="X41" s="25"/>
      <c r="Y41" s="25"/>
      <c r="Z41" s="25"/>
      <c r="AA41" s="25"/>
      <c r="AB41" s="25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</vt:i4>
      </vt:variant>
    </vt:vector>
  </HeadingPairs>
  <TitlesOfParts>
    <vt:vector size="25" baseType="lpstr">
      <vt:lpstr>metadata</vt:lpstr>
      <vt:lpstr>Pg susceptibility</vt:lpstr>
      <vt:lpstr>ISO susceptibility </vt:lpstr>
      <vt:lpstr>ISO hemocytes 30 min</vt:lpstr>
      <vt:lpstr>ISO hemocytes 90 min</vt:lpstr>
      <vt:lpstr>ISO hemocytes 180 min</vt:lpstr>
      <vt:lpstr>NE susceptibility</vt:lpstr>
      <vt:lpstr>NE hemocytes 30 min</vt:lpstr>
      <vt:lpstr>NE hemocytes 90 min</vt:lpstr>
      <vt:lpstr>NE hemocytes 180 min</vt:lpstr>
      <vt:lpstr>OCT susceptibility</vt:lpstr>
      <vt:lpstr>OCT hemocytes 30 min</vt:lpstr>
      <vt:lpstr>100pM ISO +P. gingivalis</vt:lpstr>
      <vt:lpstr>Hemocytes Pg +100pM ISO</vt:lpstr>
      <vt:lpstr>melanization Pg +100pM ISO</vt:lpstr>
      <vt:lpstr>Sessile-circulating Hem ISO</vt:lpstr>
      <vt:lpstr>Sessile-circulating Hem OCT</vt:lpstr>
      <vt:lpstr>hemocytes +propanolol</vt:lpstr>
      <vt:lpstr>NE +P.gingivalis</vt:lpstr>
      <vt:lpstr>Ne+ Pg melanization</vt:lpstr>
      <vt:lpstr>Pg recovery hemolymph</vt:lpstr>
      <vt:lpstr>nodules formation</vt:lpstr>
      <vt:lpstr>AMPs</vt:lpstr>
      <vt:lpstr>ligand action on PG</vt:lpstr>
      <vt:lpstr>Virulence gene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moraes</dc:creator>
  <cp:lastModifiedBy>unesp</cp:lastModifiedBy>
  <dcterms:created xsi:type="dcterms:W3CDTF">2021-10-30T23:37:00Z</dcterms:created>
  <dcterms:modified xsi:type="dcterms:W3CDTF">2022-05-25T19:06:12Z</dcterms:modified>
</cp:coreProperties>
</file>